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9"/>
  <workbookPr codeName="EstaPastaDeTrabalh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fabiosilva/Downloads/"/>
    </mc:Choice>
  </mc:AlternateContent>
  <xr:revisionPtr revIDLastSave="0" documentId="13_ncr:1_{A02012E1-1B6E-614F-9BC6-BC78E14408F7}" xr6:coauthVersionLast="47" xr6:coauthVersionMax="47" xr10:uidLastSave="{00000000-0000-0000-0000-000000000000}"/>
  <bookViews>
    <workbookView xWindow="0" yWindow="0" windowWidth="38400" windowHeight="21600" tabRatio="888" activeTab="1" xr2:uid="{00000000-000D-0000-FFFF-FFFF00000000}"/>
  </bookViews>
  <sheets>
    <sheet name="Anexo VII" sheetId="19" state="hidden" r:id="rId1"/>
    <sheet name="VPTA" sheetId="14" r:id="rId2"/>
    <sheet name="Plano Orçamentario" sheetId="16" r:id="rId3"/>
    <sheet name="Plano Analitico" sheetId="20" r:id="rId4"/>
    <sheet name="Salarios" sheetId="26" r:id="rId5"/>
  </sheets>
  <definedNames>
    <definedName name="_xlnm.Print_Area" localSheetId="3">'Plano Analitico'!$A$1:$P$49</definedName>
    <definedName name="_xlnm.Print_Area" localSheetId="1">VPTA!$A$1:$M$35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4" l="1"/>
  <c r="J16" i="14"/>
  <c r="J17" i="14"/>
  <c r="J18" i="14"/>
  <c r="J19" i="14"/>
  <c r="J20" i="14"/>
  <c r="J21" i="14"/>
  <c r="J22" i="14"/>
  <c r="J23" i="14"/>
  <c r="J24" i="14"/>
  <c r="J25" i="14"/>
  <c r="J15" i="14"/>
  <c r="J14" i="14"/>
  <c r="D45" i="20"/>
  <c r="O39" i="20"/>
  <c r="N39" i="20"/>
  <c r="M39" i="20"/>
  <c r="L39" i="20"/>
  <c r="K39" i="20"/>
  <c r="J39" i="20"/>
  <c r="I39" i="20"/>
  <c r="H39" i="20"/>
  <c r="G39" i="20"/>
  <c r="F39" i="20"/>
  <c r="E39" i="20"/>
  <c r="P39" i="20" l="1"/>
  <c r="P41" i="20"/>
  <c r="J4" i="26"/>
  <c r="J3" i="26"/>
  <c r="B5" i="26"/>
  <c r="M5" i="26" s="1"/>
  <c r="B6" i="26"/>
  <c r="M6" i="26" s="1"/>
  <c r="B7" i="26"/>
  <c r="M7" i="26" s="1"/>
  <c r="B8" i="26"/>
  <c r="M8" i="26" s="1"/>
  <c r="B9" i="26"/>
  <c r="M9" i="26" s="1"/>
  <c r="B10" i="26"/>
  <c r="M10" i="26" s="1"/>
  <c r="B11" i="26"/>
  <c r="M11" i="26" s="1"/>
  <c r="B12" i="26"/>
  <c r="M12" i="26" s="1"/>
  <c r="B13" i="26"/>
  <c r="M13" i="26" s="1"/>
  <c r="B14" i="26"/>
  <c r="M14" i="26" s="1"/>
  <c r="B15" i="26"/>
  <c r="M15" i="26" s="1"/>
  <c r="B4" i="26"/>
  <c r="B3" i="26"/>
  <c r="L5" i="26"/>
  <c r="L6" i="26"/>
  <c r="L7" i="26"/>
  <c r="L8" i="26"/>
  <c r="L9" i="26"/>
  <c r="L10" i="26"/>
  <c r="L11" i="26"/>
  <c r="L12" i="26"/>
  <c r="L13" i="26"/>
  <c r="L14" i="26"/>
  <c r="L15" i="26"/>
  <c r="L4" i="26"/>
  <c r="L3" i="26"/>
  <c r="I16" i="14"/>
  <c r="K5" i="26" s="1"/>
  <c r="I17" i="14"/>
  <c r="K6" i="26" s="1"/>
  <c r="I18" i="14"/>
  <c r="K7" i="26" s="1"/>
  <c r="I19" i="14"/>
  <c r="K8" i="26" s="1"/>
  <c r="I20" i="14"/>
  <c r="K9" i="26" s="1"/>
  <c r="I21" i="14"/>
  <c r="K10" i="26" s="1"/>
  <c r="I22" i="14"/>
  <c r="K11" i="26" s="1"/>
  <c r="I23" i="14"/>
  <c r="K12" i="26" s="1"/>
  <c r="I24" i="14"/>
  <c r="K13" i="26" s="1"/>
  <c r="I25" i="14"/>
  <c r="K14" i="26" s="1"/>
  <c r="I26" i="14"/>
  <c r="K15" i="26" s="1"/>
  <c r="I15" i="14"/>
  <c r="K4" i="26" s="1"/>
  <c r="I14" i="14"/>
  <c r="K3" i="26" s="1"/>
  <c r="D9" i="20"/>
  <c r="D13" i="16"/>
  <c r="E24" i="16" s="1"/>
  <c r="B12" i="14"/>
  <c r="E23" i="16" l="1"/>
  <c r="E22" i="16"/>
  <c r="L17" i="26"/>
  <c r="K17" i="26"/>
  <c r="E25" i="16"/>
  <c r="C7" i="26"/>
  <c r="I9" i="14" l="1"/>
  <c r="C10" i="26"/>
  <c r="L16" i="14" l="1"/>
  <c r="L17" i="14"/>
  <c r="L18" i="14"/>
  <c r="L19" i="14"/>
  <c r="L20" i="14"/>
  <c r="L21" i="14"/>
  <c r="L22" i="14"/>
  <c r="L23" i="14"/>
  <c r="L24" i="14"/>
  <c r="L25" i="14"/>
  <c r="L26" i="14"/>
  <c r="L15" i="14"/>
  <c r="M4" i="26" s="1"/>
  <c r="L14" i="14"/>
  <c r="M3" i="26" s="1"/>
  <c r="B17" i="26"/>
  <c r="C15" i="26"/>
  <c r="C14" i="26"/>
  <c r="C5" i="26"/>
  <c r="C6" i="26"/>
  <c r="C8" i="26"/>
  <c r="C9" i="26"/>
  <c r="C11" i="26"/>
  <c r="C12" i="26"/>
  <c r="C13" i="26"/>
  <c r="C4" i="26"/>
  <c r="C3" i="26"/>
  <c r="M17" i="26" l="1"/>
  <c r="E16" i="14"/>
  <c r="G16" i="14" s="1"/>
  <c r="E17" i="14"/>
  <c r="E18" i="14"/>
  <c r="G18" i="14" s="1"/>
  <c r="E19" i="14"/>
  <c r="E20" i="14"/>
  <c r="E21" i="14"/>
  <c r="E22" i="14"/>
  <c r="E23" i="14"/>
  <c r="E24" i="14"/>
  <c r="E25" i="14"/>
  <c r="E26" i="14"/>
  <c r="E15" i="14"/>
  <c r="G15" i="14" s="1"/>
  <c r="E14" i="14"/>
  <c r="G14" i="14" s="1"/>
  <c r="F22" i="14" l="1"/>
  <c r="G22" i="14"/>
  <c r="K22" i="14"/>
  <c r="J11" i="26" s="1"/>
  <c r="E11" i="26"/>
  <c r="H22" i="14"/>
  <c r="E6" i="26"/>
  <c r="G17" i="14"/>
  <c r="F26" i="14"/>
  <c r="G26" i="14"/>
  <c r="K26" i="14"/>
  <c r="J15" i="26" s="1"/>
  <c r="H26" i="14"/>
  <c r="E15" i="26"/>
  <c r="F25" i="14"/>
  <c r="E14" i="26"/>
  <c r="H25" i="14"/>
  <c r="K25" i="14"/>
  <c r="J14" i="26" s="1"/>
  <c r="G25" i="14"/>
  <c r="E10" i="26"/>
  <c r="H21" i="14"/>
  <c r="G21" i="14"/>
  <c r="K21" i="14"/>
  <c r="J10" i="26" s="1"/>
  <c r="H24" i="14"/>
  <c r="G24" i="14"/>
  <c r="M24" i="14" s="1"/>
  <c r="K24" i="14"/>
  <c r="J13" i="26" s="1"/>
  <c r="E13" i="26"/>
  <c r="F20" i="14"/>
  <c r="H20" i="14"/>
  <c r="E9" i="26"/>
  <c r="G20" i="14"/>
  <c r="K20" i="14"/>
  <c r="J9" i="26" s="1"/>
  <c r="F23" i="14"/>
  <c r="G23" i="14"/>
  <c r="K23" i="14"/>
  <c r="J12" i="26" s="1"/>
  <c r="H23" i="14"/>
  <c r="E12" i="26"/>
  <c r="F19" i="14"/>
  <c r="G19" i="14"/>
  <c r="K19" i="14"/>
  <c r="J8" i="26" s="1"/>
  <c r="H19" i="14"/>
  <c r="E8" i="26"/>
  <c r="K18" i="14"/>
  <c r="J7" i="26" s="1"/>
  <c r="H18" i="14"/>
  <c r="M18" i="14" s="1"/>
  <c r="E7" i="26"/>
  <c r="E3" i="26"/>
  <c r="G3" i="26" s="1"/>
  <c r="H14" i="14"/>
  <c r="M14" i="14" s="1"/>
  <c r="F16" i="14"/>
  <c r="E5" i="26"/>
  <c r="H16" i="14"/>
  <c r="K16" i="14"/>
  <c r="J5" i="26" s="1"/>
  <c r="H15" i="14"/>
  <c r="M15" i="14" s="1"/>
  <c r="E4" i="26"/>
  <c r="H17" i="14"/>
  <c r="K17" i="14"/>
  <c r="J6" i="26" s="1"/>
  <c r="F24" i="14"/>
  <c r="F21" i="14"/>
  <c r="F18" i="14"/>
  <c r="F17" i="14"/>
  <c r="F15" i="14"/>
  <c r="F14" i="14"/>
  <c r="C27" i="16"/>
  <c r="M21" i="14" l="1"/>
  <c r="M19" i="14"/>
  <c r="M20" i="14"/>
  <c r="J17" i="26"/>
  <c r="M16" i="14"/>
  <c r="M25" i="14"/>
  <c r="M23" i="14"/>
  <c r="M26" i="14"/>
  <c r="M22" i="14"/>
  <c r="H10" i="26"/>
  <c r="I10" i="26"/>
  <c r="F10" i="26"/>
  <c r="G10" i="26"/>
  <c r="N10" i="26"/>
  <c r="M17" i="14"/>
  <c r="G7" i="26"/>
  <c r="H7" i="26"/>
  <c r="I7" i="26"/>
  <c r="F7" i="26"/>
  <c r="F28" i="14"/>
  <c r="F11" i="26"/>
  <c r="H11" i="26"/>
  <c r="G11" i="26"/>
  <c r="I11" i="26"/>
  <c r="F6" i="26"/>
  <c r="H6" i="26"/>
  <c r="I6" i="26"/>
  <c r="G6" i="26"/>
  <c r="F8" i="26"/>
  <c r="H8" i="26"/>
  <c r="I8" i="26"/>
  <c r="G8" i="26"/>
  <c r="E17" i="26"/>
  <c r="I15" i="26"/>
  <c r="G15" i="26"/>
  <c r="F15" i="26"/>
  <c r="H15" i="26"/>
  <c r="F12" i="26"/>
  <c r="G12" i="26"/>
  <c r="H12" i="26"/>
  <c r="I12" i="26"/>
  <c r="F4" i="26"/>
  <c r="I4" i="26"/>
  <c r="G4" i="26"/>
  <c r="H4" i="26"/>
  <c r="I3" i="26"/>
  <c r="H3" i="26"/>
  <c r="F3" i="26"/>
  <c r="F9" i="26"/>
  <c r="G9" i="26"/>
  <c r="H9" i="26"/>
  <c r="I9" i="26"/>
  <c r="F13" i="26"/>
  <c r="G13" i="26"/>
  <c r="H13" i="26"/>
  <c r="I13" i="26"/>
  <c r="F14" i="26"/>
  <c r="H14" i="26"/>
  <c r="G14" i="26"/>
  <c r="I14" i="26"/>
  <c r="H5" i="26"/>
  <c r="I5" i="26"/>
  <c r="G5" i="26"/>
  <c r="F5" i="26"/>
  <c r="L7" i="14"/>
  <c r="G17" i="26" l="1"/>
  <c r="F17" i="26"/>
  <c r="H17" i="26"/>
  <c r="I17" i="26"/>
  <c r="N7" i="26"/>
  <c r="N11" i="26"/>
  <c r="N14" i="26"/>
  <c r="N13" i="26"/>
  <c r="N3" i="26"/>
  <c r="N4" i="26"/>
  <c r="N15" i="26"/>
  <c r="N9" i="26"/>
  <c r="N12" i="26"/>
  <c r="N8" i="26"/>
  <c r="N6" i="26"/>
  <c r="N5" i="26"/>
  <c r="I8" i="14"/>
  <c r="I6" i="14" s="1"/>
  <c r="N17" i="26" l="1"/>
  <c r="G29" i="16"/>
  <c r="H29" i="16" s="1"/>
  <c r="G28" i="16"/>
  <c r="H28" i="16" s="1"/>
  <c r="G27" i="16"/>
  <c r="H27" i="16" s="1"/>
  <c r="G26" i="16"/>
  <c r="H26" i="16" s="1"/>
  <c r="G22" i="16"/>
  <c r="G23" i="16"/>
  <c r="F23" i="16" s="1"/>
  <c r="G24" i="16"/>
  <c r="H24" i="16" s="1"/>
  <c r="G25" i="16"/>
  <c r="H25" i="16" s="1"/>
  <c r="H9" i="14"/>
  <c r="E26" i="20"/>
  <c r="E27" i="20"/>
  <c r="E28" i="20"/>
  <c r="E29" i="20"/>
  <c r="E31" i="20"/>
  <c r="E34" i="20"/>
  <c r="E35" i="20"/>
  <c r="E36" i="20"/>
  <c r="E37" i="20"/>
  <c r="E38" i="20"/>
  <c r="E32" i="20"/>
  <c r="F32" i="20"/>
  <c r="G32" i="20"/>
  <c r="H32" i="20"/>
  <c r="I32" i="20"/>
  <c r="J32" i="20"/>
  <c r="K32" i="20"/>
  <c r="L32" i="20"/>
  <c r="M32" i="20"/>
  <c r="N32" i="20"/>
  <c r="O32" i="20"/>
  <c r="C28" i="14"/>
  <c r="F34" i="20"/>
  <c r="G34" i="20"/>
  <c r="H34" i="20"/>
  <c r="I34" i="20"/>
  <c r="J34" i="20"/>
  <c r="K34" i="20"/>
  <c r="L34" i="20"/>
  <c r="M34" i="20"/>
  <c r="N34" i="20"/>
  <c r="O34" i="20"/>
  <c r="F29" i="20"/>
  <c r="G29" i="20"/>
  <c r="H29" i="20"/>
  <c r="I29" i="20"/>
  <c r="J29" i="20"/>
  <c r="K29" i="20"/>
  <c r="L29" i="20"/>
  <c r="M29" i="20"/>
  <c r="N29" i="20"/>
  <c r="O29" i="20"/>
  <c r="F28" i="20"/>
  <c r="G28" i="20"/>
  <c r="H28" i="20"/>
  <c r="I28" i="20"/>
  <c r="J28" i="20"/>
  <c r="K28" i="20"/>
  <c r="L28" i="20"/>
  <c r="M28" i="20"/>
  <c r="N28" i="20"/>
  <c r="O28" i="20"/>
  <c r="F27" i="20"/>
  <c r="G27" i="20"/>
  <c r="H27" i="20"/>
  <c r="I27" i="20"/>
  <c r="J27" i="20"/>
  <c r="K27" i="20"/>
  <c r="L27" i="20"/>
  <c r="M27" i="20"/>
  <c r="N27" i="20"/>
  <c r="O27" i="20"/>
  <c r="F26" i="20"/>
  <c r="F31" i="20"/>
  <c r="F35" i="20"/>
  <c r="F36" i="20"/>
  <c r="F37" i="20"/>
  <c r="F38" i="20"/>
  <c r="G26" i="20"/>
  <c r="G31" i="20"/>
  <c r="G35" i="20"/>
  <c r="G36" i="20"/>
  <c r="G37" i="20"/>
  <c r="G38" i="20"/>
  <c r="H26" i="20"/>
  <c r="H31" i="20"/>
  <c r="H35" i="20"/>
  <c r="H36" i="20"/>
  <c r="H37" i="20"/>
  <c r="H38" i="20"/>
  <c r="I26" i="20"/>
  <c r="I31" i="20"/>
  <c r="I35" i="20"/>
  <c r="I36" i="20"/>
  <c r="I37" i="20"/>
  <c r="I38" i="20"/>
  <c r="I45" i="20" s="1"/>
  <c r="J26" i="20"/>
  <c r="J31" i="20"/>
  <c r="J35" i="20"/>
  <c r="J36" i="20"/>
  <c r="J37" i="20"/>
  <c r="J38" i="20"/>
  <c r="K26" i="20"/>
  <c r="K31" i="20"/>
  <c r="K35" i="20"/>
  <c r="K36" i="20"/>
  <c r="K37" i="20"/>
  <c r="K38" i="20"/>
  <c r="L26" i="20"/>
  <c r="L31" i="20"/>
  <c r="L35" i="20"/>
  <c r="L36" i="20"/>
  <c r="L37" i="20"/>
  <c r="L38" i="20"/>
  <c r="M26" i="20"/>
  <c r="M31" i="20"/>
  <c r="M35" i="20"/>
  <c r="M36" i="20"/>
  <c r="M37" i="20"/>
  <c r="M38" i="20"/>
  <c r="M45" i="20" s="1"/>
  <c r="N26" i="20"/>
  <c r="N31" i="20"/>
  <c r="N35" i="20"/>
  <c r="N36" i="20"/>
  <c r="N37" i="20"/>
  <c r="N38" i="20"/>
  <c r="O26" i="20"/>
  <c r="O31" i="20"/>
  <c r="O35" i="20"/>
  <c r="O36" i="20"/>
  <c r="O37" i="20"/>
  <c r="O38" i="20"/>
  <c r="F25" i="16"/>
  <c r="C22" i="16"/>
  <c r="C23" i="16"/>
  <c r="C24" i="16"/>
  <c r="C26" i="16"/>
  <c r="A18" i="19"/>
  <c r="B18" i="19" s="1"/>
  <c r="A20" i="19"/>
  <c r="D20" i="19" s="1"/>
  <c r="A19" i="19"/>
  <c r="D19" i="19" s="1"/>
  <c r="A14" i="19"/>
  <c r="C14" i="19" s="1"/>
  <c r="Z14" i="19" s="1"/>
  <c r="AB14" i="19" s="1"/>
  <c r="A13" i="19"/>
  <c r="D13" i="19" s="1"/>
  <c r="A15" i="19"/>
  <c r="B15" i="19" s="1"/>
  <c r="C15" i="19"/>
  <c r="W15" i="19" s="1"/>
  <c r="Y15" i="19" s="1"/>
  <c r="A16" i="19"/>
  <c r="C16" i="19" s="1"/>
  <c r="AC16" i="19" s="1"/>
  <c r="AE16" i="19" s="1"/>
  <c r="A17" i="19"/>
  <c r="D17" i="19" s="1"/>
  <c r="E22" i="19"/>
  <c r="O45" i="20" l="1"/>
  <c r="K45" i="20"/>
  <c r="G45" i="20"/>
  <c r="E45" i="20"/>
  <c r="B13" i="19"/>
  <c r="C13" i="19"/>
  <c r="AC13" i="19" s="1"/>
  <c r="AE13" i="19" s="1"/>
  <c r="N45" i="20"/>
  <c r="J45" i="20"/>
  <c r="H45" i="20"/>
  <c r="L45" i="20"/>
  <c r="F45" i="20"/>
  <c r="P35" i="20"/>
  <c r="B17" i="19"/>
  <c r="B20" i="19"/>
  <c r="C17" i="19"/>
  <c r="U17" i="19" s="1"/>
  <c r="B16" i="19"/>
  <c r="C20" i="19"/>
  <c r="W20" i="19" s="1"/>
  <c r="Y20" i="19" s="1"/>
  <c r="D18" i="19"/>
  <c r="D16" i="19"/>
  <c r="F16" i="19" s="1"/>
  <c r="G16" i="19" s="1"/>
  <c r="C18" i="19"/>
  <c r="U18" i="19" s="1"/>
  <c r="B14" i="19"/>
  <c r="F24" i="16"/>
  <c r="I28" i="14"/>
  <c r="D14" i="19"/>
  <c r="F14" i="19" s="1"/>
  <c r="P31" i="20"/>
  <c r="C19" i="19"/>
  <c r="AC19" i="19" s="1"/>
  <c r="AE19" i="19" s="1"/>
  <c r="B19" i="19"/>
  <c r="P37" i="20"/>
  <c r="P32" i="20"/>
  <c r="K28" i="14"/>
  <c r="D15" i="19"/>
  <c r="P38" i="20"/>
  <c r="P28" i="20"/>
  <c r="P36" i="20"/>
  <c r="P34" i="20"/>
  <c r="P27" i="20"/>
  <c r="P29" i="20"/>
  <c r="H23" i="16"/>
  <c r="G21" i="16"/>
  <c r="H21" i="16" s="1"/>
  <c r="P26" i="20"/>
  <c r="F22" i="16"/>
  <c r="H22" i="16"/>
  <c r="W16" i="19"/>
  <c r="Y16" i="19" s="1"/>
  <c r="U13" i="19"/>
  <c r="Z13" i="19"/>
  <c r="AB13" i="19" s="1"/>
  <c r="L28" i="14"/>
  <c r="Z16" i="19"/>
  <c r="AB16" i="19" s="1"/>
  <c r="U16" i="19"/>
  <c r="J28" i="14"/>
  <c r="W14" i="19"/>
  <c r="Y14" i="19" s="1"/>
  <c r="E28" i="14"/>
  <c r="G28" i="14"/>
  <c r="G19" i="16" s="1"/>
  <c r="U14" i="19"/>
  <c r="AC14" i="19"/>
  <c r="AE14" i="19" s="1"/>
  <c r="Z15" i="19"/>
  <c r="AB15" i="19" s="1"/>
  <c r="U15" i="19"/>
  <c r="AC15" i="19"/>
  <c r="AE15" i="19" s="1"/>
  <c r="W13" i="19" l="1"/>
  <c r="Y13" i="19" s="1"/>
  <c r="F13" i="19"/>
  <c r="L13" i="19" s="1"/>
  <c r="M13" i="19" s="1"/>
  <c r="D20" i="20"/>
  <c r="G17" i="16"/>
  <c r="H17" i="16" s="1"/>
  <c r="Z17" i="19"/>
  <c r="AB17" i="19" s="1"/>
  <c r="W17" i="19"/>
  <c r="Y17" i="19" s="1"/>
  <c r="F17" i="19"/>
  <c r="I17" i="19" s="1"/>
  <c r="J17" i="19" s="1"/>
  <c r="AC17" i="19"/>
  <c r="AE17" i="19" s="1"/>
  <c r="Z20" i="19"/>
  <c r="AB20" i="19" s="1"/>
  <c r="F20" i="19"/>
  <c r="L20" i="19" s="1"/>
  <c r="M20" i="19" s="1"/>
  <c r="O20" i="19" s="1"/>
  <c r="U20" i="19"/>
  <c r="AC20" i="19"/>
  <c r="AE20" i="19" s="1"/>
  <c r="Z18" i="19"/>
  <c r="AB18" i="19" s="1"/>
  <c r="W18" i="19"/>
  <c r="Y18" i="19" s="1"/>
  <c r="F18" i="19"/>
  <c r="L18" i="19" s="1"/>
  <c r="F19" i="19"/>
  <c r="H19" i="19" s="1"/>
  <c r="AC18" i="19"/>
  <c r="AE18" i="19" s="1"/>
  <c r="C22" i="19"/>
  <c r="U19" i="19"/>
  <c r="U22" i="19" s="1"/>
  <c r="W19" i="19"/>
  <c r="Y19" i="19" s="1"/>
  <c r="Z19" i="19"/>
  <c r="AB19" i="19" s="1"/>
  <c r="D22" i="19"/>
  <c r="F15" i="19"/>
  <c r="P15" i="19" s="1"/>
  <c r="G18" i="16"/>
  <c r="D22" i="20" s="1"/>
  <c r="L16" i="19"/>
  <c r="M16" i="19" s="1"/>
  <c r="O16" i="19" s="1"/>
  <c r="I16" i="19"/>
  <c r="K16" i="19" s="1"/>
  <c r="P16" i="19"/>
  <c r="H16" i="19"/>
  <c r="P45" i="20"/>
  <c r="P13" i="19"/>
  <c r="G13" i="19"/>
  <c r="I13" i="19"/>
  <c r="K13" i="19" s="1"/>
  <c r="H13" i="19"/>
  <c r="M28" i="14"/>
  <c r="H28" i="14"/>
  <c r="G20" i="16" s="1"/>
  <c r="L14" i="19"/>
  <c r="H14" i="19"/>
  <c r="I14" i="19"/>
  <c r="G14" i="19"/>
  <c r="P14" i="19"/>
  <c r="H19" i="16"/>
  <c r="D21" i="20"/>
  <c r="O13" i="19"/>
  <c r="N13" i="19"/>
  <c r="G17" i="19" l="1"/>
  <c r="L17" i="19"/>
  <c r="M17" i="19" s="1"/>
  <c r="H17" i="19"/>
  <c r="P17" i="19"/>
  <c r="K17" i="19"/>
  <c r="AE22" i="19"/>
  <c r="H18" i="16"/>
  <c r="G20" i="19"/>
  <c r="P20" i="19"/>
  <c r="G15" i="19"/>
  <c r="H20" i="19"/>
  <c r="I20" i="19"/>
  <c r="K20" i="19" s="1"/>
  <c r="G18" i="19"/>
  <c r="F22" i="19"/>
  <c r="AB22" i="19"/>
  <c r="Y22" i="19"/>
  <c r="I18" i="19"/>
  <c r="K18" i="19" s="1"/>
  <c r="P18" i="19"/>
  <c r="I19" i="19"/>
  <c r="J19" i="19" s="1"/>
  <c r="H18" i="19"/>
  <c r="I15" i="19"/>
  <c r="K15" i="19" s="1"/>
  <c r="G19" i="19"/>
  <c r="L19" i="19"/>
  <c r="M19" i="19" s="1"/>
  <c r="G16" i="16"/>
  <c r="G30" i="16" s="1"/>
  <c r="P19" i="19"/>
  <c r="M8" i="14"/>
  <c r="H15" i="19"/>
  <c r="L15" i="19"/>
  <c r="M15" i="19" s="1"/>
  <c r="J16" i="19"/>
  <c r="J13" i="19"/>
  <c r="R13" i="19"/>
  <c r="H20" i="20"/>
  <c r="L20" i="20"/>
  <c r="F20" i="20"/>
  <c r="N20" i="20"/>
  <c r="I20" i="20"/>
  <c r="K20" i="20"/>
  <c r="O20" i="20"/>
  <c r="M20" i="20"/>
  <c r="G20" i="20"/>
  <c r="E20" i="20"/>
  <c r="J20" i="20"/>
  <c r="D23" i="20"/>
  <c r="D43" i="20" s="1"/>
  <c r="H20" i="16"/>
  <c r="N20" i="19"/>
  <c r="M18" i="19"/>
  <c r="J14" i="19"/>
  <c r="K14" i="19"/>
  <c r="N16" i="19"/>
  <c r="R16" i="19"/>
  <c r="Q13" i="19"/>
  <c r="Q16" i="19"/>
  <c r="M14" i="19"/>
  <c r="E21" i="20"/>
  <c r="G21" i="20"/>
  <c r="F21" i="20"/>
  <c r="I21" i="20"/>
  <c r="H21" i="20"/>
  <c r="J21" i="20"/>
  <c r="O21" i="20"/>
  <c r="M21" i="20"/>
  <c r="L21" i="20"/>
  <c r="N21" i="20"/>
  <c r="K21" i="20"/>
  <c r="F22" i="20"/>
  <c r="J22" i="20"/>
  <c r="N22" i="20"/>
  <c r="L22" i="20"/>
  <c r="G22" i="20"/>
  <c r="K22" i="20"/>
  <c r="O22" i="20"/>
  <c r="H22" i="20"/>
  <c r="M22" i="20"/>
  <c r="E22" i="20"/>
  <c r="I22" i="20"/>
  <c r="O17" i="19" l="1"/>
  <c r="H16" i="16"/>
  <c r="R17" i="19"/>
  <c r="N17" i="19"/>
  <c r="Q17" i="19"/>
  <c r="S20" i="19"/>
  <c r="H22" i="19"/>
  <c r="R15" i="19"/>
  <c r="R20" i="19"/>
  <c r="Q20" i="19"/>
  <c r="J20" i="19"/>
  <c r="G22" i="19"/>
  <c r="J15" i="19"/>
  <c r="V20" i="19"/>
  <c r="AF20" i="19" s="1"/>
  <c r="O19" i="19"/>
  <c r="J18" i="19"/>
  <c r="R18" i="19"/>
  <c r="S19" i="19"/>
  <c r="V19" i="19" s="1"/>
  <c r="AF19" i="19" s="1"/>
  <c r="P22" i="19"/>
  <c r="N19" i="19"/>
  <c r="K19" i="19"/>
  <c r="K22" i="19" s="1"/>
  <c r="I22" i="19"/>
  <c r="R19" i="19"/>
  <c r="L22" i="19"/>
  <c r="P20" i="20"/>
  <c r="H30" i="16"/>
  <c r="N15" i="19"/>
  <c r="O15" i="19"/>
  <c r="Q15" i="19" s="1"/>
  <c r="P22" i="20"/>
  <c r="S16" i="19"/>
  <c r="V16" i="19" s="1"/>
  <c r="AF16" i="19" s="1"/>
  <c r="J23" i="20"/>
  <c r="J43" i="20" s="1"/>
  <c r="J47" i="20" s="1"/>
  <c r="O23" i="20"/>
  <c r="O43" i="20" s="1"/>
  <c r="O47" i="20" s="1"/>
  <c r="H23" i="20"/>
  <c r="H43" i="20" s="1"/>
  <c r="H47" i="20" s="1"/>
  <c r="M23" i="20"/>
  <c r="M43" i="20" s="1"/>
  <c r="M47" i="20" s="1"/>
  <c r="E23" i="20"/>
  <c r="E43" i="20" s="1"/>
  <c r="E47" i="20" s="1"/>
  <c r="G23" i="20"/>
  <c r="G43" i="20" s="1"/>
  <c r="G47" i="20" s="1"/>
  <c r="I23" i="20"/>
  <c r="F23" i="20"/>
  <c r="F43" i="20" s="1"/>
  <c r="F47" i="20" s="1"/>
  <c r="N23" i="20"/>
  <c r="N43" i="20" s="1"/>
  <c r="N47" i="20" s="1"/>
  <c r="L23" i="20"/>
  <c r="L43" i="20" s="1"/>
  <c r="L47" i="20" s="1"/>
  <c r="K23" i="20"/>
  <c r="K43" i="20" s="1"/>
  <c r="K47" i="20" s="1"/>
  <c r="D47" i="20"/>
  <c r="P21" i="20"/>
  <c r="R14" i="19"/>
  <c r="M22" i="19"/>
  <c r="N14" i="19"/>
  <c r="N18" i="19"/>
  <c r="O14" i="19"/>
  <c r="S13" i="19"/>
  <c r="O18" i="19"/>
  <c r="Q18" i="19" s="1"/>
  <c r="S17" i="19" l="1"/>
  <c r="V17" i="19" s="1"/>
  <c r="AF17" i="19" s="1"/>
  <c r="J22" i="19"/>
  <c r="Q19" i="19"/>
  <c r="R22" i="19"/>
  <c r="AF25" i="19"/>
  <c r="S15" i="19"/>
  <c r="V15" i="19" s="1"/>
  <c r="AF15" i="19" s="1"/>
  <c r="P23" i="20"/>
  <c r="S18" i="19"/>
  <c r="V18" i="19" s="1"/>
  <c r="AF18" i="19" s="1"/>
  <c r="I43" i="20"/>
  <c r="I47" i="20" s="1"/>
  <c r="N22" i="19"/>
  <c r="V13" i="19"/>
  <c r="AF13" i="19" s="1"/>
  <c r="Q14" i="19"/>
  <c r="O22" i="19"/>
  <c r="Q22" i="19" l="1"/>
  <c r="AF24" i="19" s="1"/>
  <c r="P47" i="20"/>
  <c r="P43" i="20"/>
  <c r="S14" i="19"/>
  <c r="V14" i="19" s="1"/>
  <c r="AF14" i="19" s="1"/>
  <c r="AF22" i="19" s="1"/>
  <c r="S22" i="19" l="1"/>
  <c r="AF23" i="19" s="1"/>
  <c r="D15" i="20"/>
  <c r="D14" i="20" l="1"/>
  <c r="D49" i="20" s="1"/>
  <c r="M15" i="20"/>
  <c r="L15" i="20"/>
  <c r="L14" i="20" s="1"/>
  <c r="L49" i="20" s="1"/>
  <c r="K15" i="20"/>
  <c r="K14" i="20" s="1"/>
  <c r="K49" i="20" s="1"/>
  <c r="N15" i="20"/>
  <c r="N14" i="20" s="1"/>
  <c r="N49" i="20" s="1"/>
  <c r="J15" i="20"/>
  <c r="J14" i="20" s="1"/>
  <c r="J49" i="20" s="1"/>
  <c r="F15" i="20"/>
  <c r="F14" i="20" s="1"/>
  <c r="F49" i="20" s="1"/>
  <c r="G15" i="20"/>
  <c r="I15" i="20"/>
  <c r="I14" i="20" s="1"/>
  <c r="I49" i="20" s="1"/>
  <c r="O15" i="20"/>
  <c r="O14" i="20" s="1"/>
  <c r="O49" i="20" s="1"/>
  <c r="H15" i="20"/>
  <c r="E15" i="20"/>
  <c r="E14" i="20" s="1"/>
  <c r="E49" i="20" s="1"/>
  <c r="N28" i="14"/>
  <c r="J6" i="14"/>
  <c r="H16" i="20" l="1"/>
  <c r="H14" i="20" s="1"/>
  <c r="H49" i="20" s="1"/>
  <c r="M16" i="20"/>
  <c r="M14" i="20" s="1"/>
  <c r="M49" i="20" s="1"/>
  <c r="P15" i="20"/>
  <c r="P16" i="20" l="1"/>
  <c r="P14" i="20"/>
  <c r="P49" i="20" s="1"/>
  <c r="G14" i="20"/>
  <c r="G49" i="20" s="1"/>
  <c r="H8" i="14"/>
  <c r="H6" i="14" s="1"/>
  <c r="H32" i="16" s="1"/>
  <c r="I21" i="16" s="1"/>
  <c r="I30" i="16" l="1"/>
  <c r="I16" i="16"/>
</calcChain>
</file>

<file path=xl/sharedStrings.xml><?xml version="1.0" encoding="utf-8"?>
<sst xmlns="http://schemas.openxmlformats.org/spreadsheetml/2006/main" count="232" uniqueCount="185">
  <si>
    <t>VLR CONTRATO ANO</t>
  </si>
  <si>
    <t>VLR CONTRATO MÊS</t>
  </si>
  <si>
    <t>VLR CONTRATO POR ALUNO</t>
  </si>
  <si>
    <t>LOTE 1 - CRECHE GUARULHOS</t>
  </si>
  <si>
    <r>
      <t>Complemento para Berçário</t>
    </r>
    <r>
      <rPr>
        <b/>
        <sz val="16"/>
        <color theme="1"/>
        <rFont val="Calibri"/>
        <family val="2"/>
      </rPr>
      <t>→</t>
    </r>
  </si>
  <si>
    <t>FUNÇÃO</t>
  </si>
  <si>
    <t>Horas</t>
  </si>
  <si>
    <t>Qtd.</t>
  </si>
  <si>
    <t>Salário Bruto</t>
  </si>
  <si>
    <t>Encargos</t>
  </si>
  <si>
    <t>Provisão</t>
  </si>
  <si>
    <t>CESTA BASICA</t>
  </si>
  <si>
    <t>VR</t>
  </si>
  <si>
    <t>VT</t>
  </si>
  <si>
    <t>ODONTO</t>
  </si>
  <si>
    <t>CUSTO TOTAL</t>
  </si>
  <si>
    <t>DIRETOR</t>
  </si>
  <si>
    <t>COORDENADOR PEDAGÓGICO</t>
  </si>
  <si>
    <t>PROFESSOR DE EDUCAÇÃO INFANTIL</t>
  </si>
  <si>
    <t>PROFESSOR DE EDUCAÇÃO VOLANTE</t>
  </si>
  <si>
    <t>AUXILIAR DE BERÇÁRIO</t>
  </si>
  <si>
    <t>VIGIA</t>
  </si>
  <si>
    <t>AUXILIAR DE MANUTENÇÃO</t>
  </si>
  <si>
    <t>AUXILIAR DE DIRETOR</t>
  </si>
  <si>
    <t>COZINHEIRA</t>
  </si>
  <si>
    <t>AUXILIAR DE COZINHA</t>
  </si>
  <si>
    <t>ASSISTENTE ADMINISTRATIVO</t>
  </si>
  <si>
    <t>AUXILIAR ADMINISTRATIVO</t>
  </si>
  <si>
    <t>AUXILIAR DE LIMPEZA</t>
  </si>
  <si>
    <t>SUBTOTAL</t>
  </si>
  <si>
    <t>_____________________________________________</t>
  </si>
  <si>
    <t>Assinatura do Representante Legal da Organização</t>
  </si>
  <si>
    <t>LOTE 1 - Escola Municipal Maternal Nadir Adolfina Pereira</t>
  </si>
  <si>
    <t>Creche - 2 Turmas = 268 Alunos</t>
  </si>
  <si>
    <t>REMUNERAÇÃO DE PESSOAL</t>
  </si>
  <si>
    <t>Função</t>
  </si>
  <si>
    <t>Carga Horária</t>
  </si>
  <si>
    <t>QTDE</t>
  </si>
  <si>
    <t>Salário Base</t>
  </si>
  <si>
    <t>Adic. Insal.</t>
  </si>
  <si>
    <t>Salários</t>
  </si>
  <si>
    <t>Verbas/Multa recisórias+Provisão+Férias/13º Salário c/ Encargos</t>
  </si>
  <si>
    <t>Total p/ categoria</t>
  </si>
  <si>
    <t>SubTotal</t>
  </si>
  <si>
    <t>Vale Refeição</t>
  </si>
  <si>
    <t>Vale Transporte</t>
  </si>
  <si>
    <t>uniforme</t>
  </si>
  <si>
    <t>Total Geral c/ encargos e provisionamentos</t>
  </si>
  <si>
    <t>FGTS</t>
  </si>
  <si>
    <t>INSS</t>
  </si>
  <si>
    <t>13º SALARIO</t>
  </si>
  <si>
    <t>INSS 13º</t>
  </si>
  <si>
    <t>FGTS 13º</t>
  </si>
  <si>
    <t>FÉRIAS</t>
  </si>
  <si>
    <t>1/3 FÉRIAS</t>
  </si>
  <si>
    <t>INSS FÉRIAS</t>
  </si>
  <si>
    <t>FGTS FÉRIAS</t>
  </si>
  <si>
    <t>AVISO PRÉVIO</t>
  </si>
  <si>
    <t>MULTA FGTS</t>
  </si>
  <si>
    <t>PIS</t>
  </si>
  <si>
    <t>C. Basica</t>
  </si>
  <si>
    <t>Valor</t>
  </si>
  <si>
    <t>Qtde</t>
  </si>
  <si>
    <t>Vl Un</t>
  </si>
  <si>
    <t>TOTAL</t>
  </si>
  <si>
    <t>O</t>
  </si>
  <si>
    <t>S</t>
  </si>
  <si>
    <t>E</t>
  </si>
  <si>
    <t>B</t>
  </si>
  <si>
    <t>DESCRIÇÃO</t>
  </si>
  <si>
    <t>Implantação</t>
  </si>
  <si>
    <t>Mês Seguinte</t>
  </si>
  <si>
    <t>01. Pessoal e Reflexo</t>
  </si>
  <si>
    <t>01.01</t>
  </si>
  <si>
    <t>- Remuneração de Pessoal</t>
  </si>
  <si>
    <t>01.02</t>
  </si>
  <si>
    <t>- Beneficios</t>
  </si>
  <si>
    <t>01.03</t>
  </si>
  <si>
    <t>- Encargos e Contribuições</t>
  </si>
  <si>
    <t>01.04</t>
  </si>
  <si>
    <t xml:space="preserve">  Provisão</t>
  </si>
  <si>
    <t>02. Materiais Diversos</t>
  </si>
  <si>
    <t>Descritivo</t>
  </si>
  <si>
    <t>QTD</t>
  </si>
  <si>
    <t>Valor Unit.</t>
  </si>
  <si>
    <t>02.1</t>
  </si>
  <si>
    <t>Aluno</t>
  </si>
  <si>
    <t>02.2</t>
  </si>
  <si>
    <t>02.3</t>
  </si>
  <si>
    <t>02.4</t>
  </si>
  <si>
    <t>Material Didático</t>
  </si>
  <si>
    <t>03.1</t>
  </si>
  <si>
    <t>03.2</t>
  </si>
  <si>
    <t>04. Despesas Indiretas</t>
  </si>
  <si>
    <t>05. Pequenos Reparos/Material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</si>
  <si>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</si>
  <si>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</si>
  <si>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</si>
  <si>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</si>
  <si>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</si>
  <si>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</si>
  <si>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</si>
  <si>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</si>
  <si>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</si>
  <si>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</si>
  <si>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</si>
  <si>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</si>
  <si>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RECEITAS - TOTAL</t>
  </si>
  <si>
    <t>Total de Repasse Contrato de Gestão</t>
  </si>
  <si>
    <t>Repasse Contrato de Gestão (Custeio)</t>
  </si>
  <si>
    <t>Repasse Contrato de Gestão 50%</t>
  </si>
  <si>
    <t>PESSOAL</t>
  </si>
  <si>
    <t>1.</t>
  </si>
  <si>
    <t xml:space="preserve">RECURSOS HUMANOS </t>
  </si>
  <si>
    <t>1.1.</t>
  </si>
  <si>
    <t>Administrativo/Assistencial</t>
  </si>
  <si>
    <t>1.2.</t>
  </si>
  <si>
    <t>Encargos e Contribuições</t>
  </si>
  <si>
    <t>1.3.</t>
  </si>
  <si>
    <t>Benefícios</t>
  </si>
  <si>
    <t>1.4.</t>
  </si>
  <si>
    <t>OPERACIONAL</t>
  </si>
  <si>
    <t>2.</t>
  </si>
  <si>
    <t>MATERIAIS DE CONSUMO</t>
  </si>
  <si>
    <t>2.1.</t>
  </si>
  <si>
    <t>Material de Limpeza / Higiene</t>
  </si>
  <si>
    <t>2.2.</t>
  </si>
  <si>
    <t>Material de Escritório</t>
  </si>
  <si>
    <t>2.3.</t>
  </si>
  <si>
    <t>Material Pedagógico</t>
  </si>
  <si>
    <t>2.4.</t>
  </si>
  <si>
    <t>3.</t>
  </si>
  <si>
    <t>SERVIÇOS DE TERCEIROS</t>
  </si>
  <si>
    <t>3.1.</t>
  </si>
  <si>
    <t>Assessoria Contábil / RH</t>
  </si>
  <si>
    <t>3.2.</t>
  </si>
  <si>
    <t>4.</t>
  </si>
  <si>
    <t xml:space="preserve">Despesas Indiretas </t>
  </si>
  <si>
    <t>4.1.</t>
  </si>
  <si>
    <t>Concessionárias (Luz, Água, Telefone, Internet...)</t>
  </si>
  <si>
    <t>4.2.</t>
  </si>
  <si>
    <t>4.3.</t>
  </si>
  <si>
    <t>EPI's, Exames Ocupacionais, Uniformes, Laudos PPRA PCMSO</t>
  </si>
  <si>
    <t>4.4.</t>
  </si>
  <si>
    <t>Atividades Culturais</t>
  </si>
  <si>
    <t>4.5.</t>
  </si>
  <si>
    <t>4.6.</t>
  </si>
  <si>
    <t>5.</t>
  </si>
  <si>
    <t>5.1.</t>
  </si>
  <si>
    <t>TOTAL DE DESPESAS PESSOAL</t>
  </si>
  <si>
    <t>TOTAL DE DESPESAS OPERACIONAIS</t>
  </si>
  <si>
    <t>TOTAL GERAL DAS DESPESAS (OPERACIONAIS + NÃO OPERACIONAIS)</t>
  </si>
  <si>
    <t>TOTAL GERAL DAS RECEITAS - OPERACIONAIS + NÃO OPERACIONAIS</t>
  </si>
  <si>
    <t>NOME DO RESPONSÁVEL PELA OSC:</t>
  </si>
  <si>
    <t>Maria Rosa Esteves</t>
  </si>
  <si>
    <t>ASSINATURA DO RESPONSÁVEL PELA OSC:</t>
  </si>
  <si>
    <t>DATA: 02/09/2019</t>
  </si>
  <si>
    <t>Cargo</t>
  </si>
  <si>
    <t>Carga horária</t>
  </si>
  <si>
    <t>Remuneração</t>
  </si>
  <si>
    <t>Cesta básica</t>
  </si>
  <si>
    <t>Odonto</t>
  </si>
  <si>
    <t>Custo total</t>
  </si>
  <si>
    <t>Treinamento e Capacitação</t>
  </si>
  <si>
    <t>Fornecimentos de Gás de Cozinha</t>
  </si>
  <si>
    <t xml:space="preserve">Salário </t>
  </si>
  <si>
    <t>Provisão 21,57%</t>
  </si>
  <si>
    <t>INSS Patronal</t>
  </si>
  <si>
    <t>FGTS 8%</t>
  </si>
  <si>
    <t>PIS 1%</t>
  </si>
  <si>
    <t>Quantidade</t>
  </si>
  <si>
    <t>Salário Liquido</t>
  </si>
  <si>
    <t>12 36</t>
  </si>
  <si>
    <t>Berçário - 240 Crianças</t>
  </si>
  <si>
    <t>Maternal - 180 Crianças</t>
  </si>
  <si>
    <t>Estagio I - 125</t>
  </si>
  <si>
    <t>Creche Período Integral = 545 Crianças (TOTAL)</t>
  </si>
  <si>
    <t>PLANO ORÇAMENTÁRIO DE CUSTEIO 2022</t>
  </si>
  <si>
    <t>Sistema de Controle de Acesso e Monitoramento Educacional</t>
  </si>
  <si>
    <t>Permanente e Consumo</t>
  </si>
  <si>
    <t>5.2</t>
  </si>
  <si>
    <t>Demais Despesas de Consumo</t>
  </si>
  <si>
    <t>Manutenção e aquisição de Permanentes</t>
  </si>
  <si>
    <t>Outros Serviços de Terceiros (Fotocópias, Correios, Chaveiro, Revelação de Fotos, Telegramas, Locação de Eqptos e Diversos...)</t>
  </si>
  <si>
    <t>LOTE 1 - CRECHE GUARULHOS - PIMENTAS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</si>
</sst>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* #,##0_-;\-* #,##0_-;_-* &quot;-&quot;??_-;_-@_-"/>
    <numFmt numFmtId="166" formatCode="0.0%"/>
    <numFmt numFmtId="167" formatCode="_-[$R$-416]\ * #,##0.00_-;\-[$R$-416]\ * #,##0.00_-;_-[$R$-416]\ * &quot;-&quot;??_-;_-@_-"/>
  </numFmts>
  <fonts count="4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i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6"/>
      <color theme="1"/>
      <name val="Calibri Light"/>
      <family val="2"/>
    </font>
    <font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rgb="FF221F1F"/>
      <name val="Arial"/>
      <family val="2"/>
    </font>
    <font>
      <sz val="8"/>
      <color theme="1"/>
      <name val="Calibri"/>
      <family val="2"/>
    </font>
    <font>
      <b/>
      <sz val="8"/>
      <color rgb="FF221F1F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Times New Roman"/>
      <family val="1"/>
    </font>
    <font>
      <b/>
      <sz val="1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rgb="FF9999FF"/>
      </patternFill>
    </fill>
    <fill>
      <patternFill patternType="solid">
        <fgColor theme="3" tint="0.79998168889431442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F0F1F1"/>
        <bgColor indexed="64"/>
      </patternFill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rgb="FF221F1F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rgb="FF221F1F"/>
      </right>
      <top style="medium">
        <color indexed="64"/>
      </top>
      <bottom/>
      <diagonal/>
    </border>
    <border>
      <left/>
      <right style="dotted">
        <color rgb="FF221F1F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rgb="FF221F1F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rgb="FF221F1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632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234">
    <xf numFmtId="0" fontId="0" fillId="0" borderId="0" xfId="0"/>
    <xf numFmtId="0" fontId="7" fillId="0" borderId="12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164" fontId="0" fillId="2" borderId="1" xfId="2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2" applyFont="1" applyFill="1" applyBorder="1"/>
    <xf numFmtId="164" fontId="0" fillId="0" borderId="1" xfId="0" applyNumberFormat="1" applyBorder="1"/>
    <xf numFmtId="164" fontId="7" fillId="0" borderId="1" xfId="2" applyFont="1" applyBorder="1" applyAlignment="1">
      <alignment vertical="center" wrapText="1"/>
    </xf>
    <xf numFmtId="164" fontId="7" fillId="0" borderId="15" xfId="2" applyFont="1" applyBorder="1" applyAlignment="1">
      <alignment vertical="center" wrapText="1"/>
    </xf>
    <xf numFmtId="165" fontId="0" fillId="0" borderId="1" xfId="1" applyNumberFormat="1" applyFont="1" applyFill="1" applyBorder="1" applyAlignment="1">
      <alignment horizontal="center"/>
    </xf>
    <xf numFmtId="164" fontId="0" fillId="0" borderId="1" xfId="2" applyFont="1" applyFill="1" applyBorder="1" applyAlignment="1">
      <alignment horizontal="center"/>
    </xf>
    <xf numFmtId="164" fontId="7" fillId="0" borderId="13" xfId="2" applyFont="1" applyBorder="1" applyAlignment="1">
      <alignment vertical="center" wrapText="1"/>
    </xf>
    <xf numFmtId="164" fontId="7" fillId="0" borderId="16" xfId="2" applyFont="1" applyBorder="1" applyAlignment="1">
      <alignment vertical="center" wrapText="1"/>
    </xf>
    <xf numFmtId="0" fontId="13" fillId="0" borderId="0" xfId="0" applyFont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/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164" fontId="6" fillId="7" borderId="10" xfId="2" applyFont="1" applyFill="1" applyBorder="1" applyAlignment="1">
      <alignment vertical="center" wrapText="1"/>
    </xf>
    <xf numFmtId="164" fontId="6" fillId="7" borderId="11" xfId="2" applyFont="1" applyFill="1" applyBorder="1" applyAlignment="1">
      <alignment vertical="center" wrapText="1"/>
    </xf>
    <xf numFmtId="0" fontId="6" fillId="7" borderId="27" xfId="0" applyFont="1" applyFill="1" applyBorder="1" applyAlignment="1">
      <alignment vertical="center" wrapText="1"/>
    </xf>
    <xf numFmtId="164" fontId="6" fillId="7" borderId="6" xfId="2" applyFont="1" applyFill="1" applyBorder="1" applyAlignment="1">
      <alignment vertical="center" wrapText="1"/>
    </xf>
    <xf numFmtId="164" fontId="6" fillId="7" borderId="24" xfId="2" applyFont="1" applyFill="1" applyBorder="1" applyAlignment="1">
      <alignment vertical="center" wrapText="1"/>
    </xf>
    <xf numFmtId="164" fontId="6" fillId="7" borderId="17" xfId="2" applyFont="1" applyFill="1" applyBorder="1" applyAlignment="1">
      <alignment vertical="center" wrapText="1"/>
    </xf>
    <xf numFmtId="164" fontId="6" fillId="7" borderId="18" xfId="2" applyFont="1" applyFill="1" applyBorder="1" applyAlignment="1">
      <alignment vertical="center" wrapText="1"/>
    </xf>
    <xf numFmtId="0" fontId="3" fillId="0" borderId="0" xfId="0" applyFont="1"/>
    <xf numFmtId="166" fontId="3" fillId="10" borderId="0" xfId="631" applyNumberFormat="1" applyFont="1" applyFill="1"/>
    <xf numFmtId="0" fontId="6" fillId="7" borderId="41" xfId="0" applyFont="1" applyFill="1" applyBorder="1" applyAlignment="1">
      <alignment horizontal="center" vertical="center" wrapText="1"/>
    </xf>
    <xf numFmtId="164" fontId="6" fillId="7" borderId="40" xfId="2" applyFont="1" applyFill="1" applyBorder="1" applyAlignment="1">
      <alignment vertical="center" wrapText="1"/>
    </xf>
    <xf numFmtId="166" fontId="0" fillId="0" borderId="0" xfId="631" applyNumberFormat="1" applyFont="1"/>
    <xf numFmtId="44" fontId="0" fillId="0" borderId="0" xfId="0" applyNumberFormat="1"/>
    <xf numFmtId="166" fontId="3" fillId="10" borderId="0" xfId="631" applyNumberFormat="1" applyFont="1" applyFill="1" applyBorder="1"/>
    <xf numFmtId="0" fontId="16" fillId="0" borderId="0" xfId="0" applyFont="1"/>
    <xf numFmtId="44" fontId="16" fillId="0" borderId="0" xfId="0" applyNumberFormat="1" applyFont="1"/>
    <xf numFmtId="0" fontId="17" fillId="0" borderId="0" xfId="0" applyFont="1"/>
    <xf numFmtId="44" fontId="17" fillId="0" borderId="0" xfId="0" applyNumberFormat="1" applyFont="1"/>
    <xf numFmtId="164" fontId="3" fillId="0" borderId="0" xfId="2" applyFont="1" applyBorder="1"/>
    <xf numFmtId="0" fontId="7" fillId="0" borderId="1" xfId="0" applyFont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43" fontId="12" fillId="11" borderId="6" xfId="1" applyFont="1" applyFill="1" applyBorder="1"/>
    <xf numFmtId="43" fontId="12" fillId="11" borderId="6" xfId="0" applyNumberFormat="1" applyFont="1" applyFill="1" applyBorder="1"/>
    <xf numFmtId="43" fontId="18" fillId="0" borderId="0" xfId="1" applyFont="1"/>
    <xf numFmtId="0" fontId="12" fillId="0" borderId="0" xfId="0" applyFont="1"/>
    <xf numFmtId="43" fontId="18" fillId="0" borderId="0" xfId="0" applyNumberFormat="1" applyFont="1"/>
    <xf numFmtId="0" fontId="18" fillId="0" borderId="0" xfId="0" applyFont="1" applyAlignment="1">
      <alignment horizontal="right"/>
    </xf>
    <xf numFmtId="0" fontId="18" fillId="0" borderId="12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164" fontId="18" fillId="0" borderId="1" xfId="2" applyFont="1" applyFill="1" applyBorder="1" applyAlignment="1">
      <alignment horizontal="left"/>
    </xf>
    <xf numFmtId="43" fontId="18" fillId="0" borderId="1" xfId="1" applyFont="1" applyFill="1" applyBorder="1" applyAlignment="1">
      <alignment horizontal="left"/>
    </xf>
    <xf numFmtId="43" fontId="18" fillId="0" borderId="13" xfId="0" applyNumberFormat="1" applyFont="1" applyBorder="1" applyAlignment="1">
      <alignment horizontal="left"/>
    </xf>
    <xf numFmtId="43" fontId="21" fillId="0" borderId="0" xfId="0" applyNumberFormat="1" applyFont="1"/>
    <xf numFmtId="0" fontId="18" fillId="0" borderId="7" xfId="0" applyFont="1" applyBorder="1" applyAlignment="1">
      <alignment horizontal="left"/>
    </xf>
    <xf numFmtId="0" fontId="18" fillId="0" borderId="8" xfId="0" applyFont="1" applyBorder="1" applyAlignment="1">
      <alignment horizontal="center"/>
    </xf>
    <xf numFmtId="164" fontId="18" fillId="0" borderId="8" xfId="2" applyFont="1" applyFill="1" applyBorder="1" applyAlignment="1">
      <alignment horizontal="left"/>
    </xf>
    <xf numFmtId="43" fontId="18" fillId="0" borderId="8" xfId="1" applyFont="1" applyFill="1" applyBorder="1" applyAlignment="1">
      <alignment horizontal="left"/>
    </xf>
    <xf numFmtId="43" fontId="18" fillId="0" borderId="9" xfId="0" applyNumberFormat="1" applyFont="1" applyBorder="1" applyAlignment="1">
      <alignment horizontal="left"/>
    </xf>
    <xf numFmtId="0" fontId="21" fillId="0" borderId="27" xfId="0" applyFont="1" applyBorder="1"/>
    <xf numFmtId="0" fontId="20" fillId="3" borderId="1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left"/>
    </xf>
    <xf numFmtId="43" fontId="20" fillId="3" borderId="3" xfId="1" applyFont="1" applyFill="1" applyBorder="1" applyAlignment="1">
      <alignment horizontal="left"/>
    </xf>
    <xf numFmtId="166" fontId="23" fillId="10" borderId="0" xfId="631" applyNumberFormat="1" applyFont="1" applyFill="1"/>
    <xf numFmtId="0" fontId="20" fillId="0" borderId="0" xfId="0" applyFont="1"/>
    <xf numFmtId="0" fontId="24" fillId="0" borderId="0" xfId="0" applyFont="1" applyAlignment="1">
      <alignment horizontal="center" vertical="center"/>
    </xf>
    <xf numFmtId="43" fontId="18" fillId="0" borderId="0" xfId="1" applyFont="1" applyBorder="1"/>
    <xf numFmtId="9" fontId="12" fillId="0" borderId="0" xfId="631" applyFont="1" applyBorder="1"/>
    <xf numFmtId="0" fontId="29" fillId="6" borderId="7" xfId="0" applyFont="1" applyFill="1" applyBorder="1" applyAlignment="1">
      <alignment horizontal="center" vertical="center"/>
    </xf>
    <xf numFmtId="43" fontId="29" fillId="6" borderId="7" xfId="1" applyFont="1" applyFill="1" applyBorder="1" applyAlignment="1">
      <alignment horizontal="center" vertical="center"/>
    </xf>
    <xf numFmtId="43" fontId="29" fillId="6" borderId="0" xfId="1" applyFont="1" applyFill="1" applyBorder="1" applyAlignment="1">
      <alignment horizontal="center" vertical="center"/>
    </xf>
    <xf numFmtId="43" fontId="25" fillId="0" borderId="1" xfId="0" applyNumberFormat="1" applyFont="1" applyBorder="1"/>
    <xf numFmtId="43" fontId="25" fillId="0" borderId="1" xfId="1" applyFont="1" applyBorder="1"/>
    <xf numFmtId="0" fontId="25" fillId="0" borderId="0" xfId="0" applyFont="1"/>
    <xf numFmtId="43" fontId="25" fillId="0" borderId="0" xfId="1" applyFont="1" applyBorder="1"/>
    <xf numFmtId="0" fontId="26" fillId="7" borderId="1" xfId="0" applyFont="1" applyFill="1" applyBorder="1" applyAlignment="1">
      <alignment vertical="center" wrapText="1"/>
    </xf>
    <xf numFmtId="0" fontId="30" fillId="8" borderId="1" xfId="0" applyFont="1" applyFill="1" applyBorder="1" applyAlignment="1">
      <alignment vertical="center" wrapText="1"/>
    </xf>
    <xf numFmtId="43" fontId="30" fillId="8" borderId="1" xfId="0" applyNumberFormat="1" applyFont="1" applyFill="1" applyBorder="1" applyAlignment="1">
      <alignment vertical="center" wrapText="1"/>
    </xf>
    <xf numFmtId="43" fontId="25" fillId="9" borderId="1" xfId="0" applyNumberFormat="1" applyFont="1" applyFill="1" applyBorder="1"/>
    <xf numFmtId="43" fontId="26" fillId="7" borderId="1" xfId="1" applyFont="1" applyFill="1" applyBorder="1" applyAlignment="1">
      <alignment vertical="center" wrapText="1"/>
    </xf>
    <xf numFmtId="43" fontId="26" fillId="7" borderId="1" xfId="0" applyNumberFormat="1" applyFont="1" applyFill="1" applyBorder="1" applyAlignment="1">
      <alignment vertical="center" wrapText="1"/>
    </xf>
    <xf numFmtId="43" fontId="25" fillId="0" borderId="2" xfId="1" applyFont="1" applyBorder="1"/>
    <xf numFmtId="164" fontId="32" fillId="0" borderId="47" xfId="2" applyFont="1" applyFill="1" applyBorder="1" applyAlignment="1">
      <alignment vertical="center" wrapText="1"/>
    </xf>
    <xf numFmtId="164" fontId="32" fillId="0" borderId="48" xfId="2" applyFont="1" applyFill="1" applyBorder="1" applyAlignment="1">
      <alignment vertical="center" wrapText="1"/>
    </xf>
    <xf numFmtId="164" fontId="32" fillId="0" borderId="15" xfId="2" applyFont="1" applyFill="1" applyBorder="1" applyAlignment="1">
      <alignment vertical="center" wrapText="1"/>
    </xf>
    <xf numFmtId="164" fontId="32" fillId="0" borderId="16" xfId="2" applyFont="1" applyFill="1" applyBorder="1" applyAlignment="1">
      <alignment vertic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43" fontId="34" fillId="0" borderId="0" xfId="1" applyFont="1"/>
    <xf numFmtId="0" fontId="18" fillId="0" borderId="0" xfId="0" applyFont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9" fillId="6" borderId="33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4" fontId="37" fillId="13" borderId="54" xfId="0" applyNumberFormat="1" applyFont="1" applyFill="1" applyBorder="1" applyAlignment="1">
      <alignment horizontal="center" vertical="center" wrapText="1"/>
    </xf>
    <xf numFmtId="4" fontId="37" fillId="13" borderId="55" xfId="0" applyNumberFormat="1" applyFont="1" applyFill="1" applyBorder="1" applyAlignment="1">
      <alignment horizontal="center" vertical="center" wrapText="1"/>
    </xf>
    <xf numFmtId="9" fontId="18" fillId="0" borderId="0" xfId="631" applyFont="1"/>
    <xf numFmtId="0" fontId="36" fillId="12" borderId="57" xfId="0" applyFont="1" applyFill="1" applyBorder="1" applyAlignment="1">
      <alignment horizontal="center" vertical="center" textRotation="90" wrapText="1"/>
    </xf>
    <xf numFmtId="0" fontId="36" fillId="12" borderId="58" xfId="0" applyFont="1" applyFill="1" applyBorder="1" applyAlignment="1">
      <alignment horizontal="center" vertical="center" textRotation="90" wrapText="1"/>
    </xf>
    <xf numFmtId="0" fontId="36" fillId="12" borderId="59" xfId="0" applyFont="1" applyFill="1" applyBorder="1" applyAlignment="1">
      <alignment horizontal="center" vertical="center" textRotation="90" wrapText="1"/>
    </xf>
    <xf numFmtId="0" fontId="37" fillId="13" borderId="56" xfId="0" applyFont="1" applyFill="1" applyBorder="1" applyAlignment="1">
      <alignment horizontal="center" vertical="center" wrapText="1"/>
    </xf>
    <xf numFmtId="0" fontId="37" fillId="13" borderId="60" xfId="0" applyFont="1" applyFill="1" applyBorder="1" applyAlignment="1">
      <alignment horizontal="center" vertical="center" wrapText="1"/>
    </xf>
    <xf numFmtId="0" fontId="37" fillId="13" borderId="61" xfId="0" applyFont="1" applyFill="1" applyBorder="1" applyAlignment="1">
      <alignment horizontal="center" vertical="center" wrapText="1"/>
    </xf>
    <xf numFmtId="4" fontId="37" fillId="13" borderId="62" xfId="0" applyNumberFormat="1" applyFont="1" applyFill="1" applyBorder="1" applyAlignment="1">
      <alignment horizontal="center" vertical="center" wrapText="1"/>
    </xf>
    <xf numFmtId="0" fontId="37" fillId="13" borderId="63" xfId="0" applyFont="1" applyFill="1" applyBorder="1" applyAlignment="1">
      <alignment horizontal="center" vertical="center" wrapText="1"/>
    </xf>
    <xf numFmtId="4" fontId="37" fillId="13" borderId="64" xfId="0" applyNumberFormat="1" applyFont="1" applyFill="1" applyBorder="1" applyAlignment="1">
      <alignment horizontal="center" vertical="center" wrapText="1"/>
    </xf>
    <xf numFmtId="0" fontId="37" fillId="13" borderId="65" xfId="0" applyFont="1" applyFill="1" applyBorder="1" applyAlignment="1">
      <alignment horizontal="center" vertical="center" wrapText="1"/>
    </xf>
    <xf numFmtId="0" fontId="37" fillId="13" borderId="54" xfId="0" applyFont="1" applyFill="1" applyBorder="1" applyAlignment="1">
      <alignment horizontal="center" vertical="center" wrapText="1"/>
    </xf>
    <xf numFmtId="167" fontId="18" fillId="0" borderId="0" xfId="1" applyNumberFormat="1" applyFont="1"/>
    <xf numFmtId="167" fontId="34" fillId="0" borderId="0" xfId="1" applyNumberFormat="1" applyFont="1"/>
    <xf numFmtId="167" fontId="18" fillId="0" borderId="1" xfId="1" applyNumberFormat="1" applyFont="1" applyFill="1" applyBorder="1" applyAlignment="1">
      <alignment horizontal="center"/>
    </xf>
    <xf numFmtId="167" fontId="18" fillId="0" borderId="8" xfId="1" applyNumberFormat="1" applyFont="1" applyFill="1" applyBorder="1" applyAlignment="1">
      <alignment horizontal="center"/>
    </xf>
    <xf numFmtId="167" fontId="20" fillId="3" borderId="3" xfId="1" applyNumberFormat="1" applyFont="1" applyFill="1" applyBorder="1" applyAlignment="1">
      <alignment horizontal="left"/>
    </xf>
    <xf numFmtId="43" fontId="37" fillId="13" borderId="61" xfId="1" applyFont="1" applyFill="1" applyBorder="1" applyAlignment="1">
      <alignment horizontal="center" vertical="center" wrapText="1"/>
    </xf>
    <xf numFmtId="43" fontId="37" fillId="13" borderId="56" xfId="1" applyFont="1" applyFill="1" applyBorder="1" applyAlignment="1">
      <alignment horizontal="center" vertical="center" wrapText="1"/>
    </xf>
    <xf numFmtId="0" fontId="38" fillId="14" borderId="41" xfId="0" applyFont="1" applyFill="1" applyBorder="1" applyAlignment="1">
      <alignment horizontal="center" vertical="center" wrapText="1"/>
    </xf>
    <xf numFmtId="4" fontId="39" fillId="14" borderId="67" xfId="0" applyNumberFormat="1" applyFont="1" applyFill="1" applyBorder="1" applyAlignment="1">
      <alignment horizontal="center" vertical="center" wrapText="1"/>
    </xf>
    <xf numFmtId="0" fontId="38" fillId="14" borderId="66" xfId="0" applyFont="1" applyFill="1" applyBorder="1" applyAlignment="1">
      <alignment vertical="center" wrapText="1"/>
    </xf>
    <xf numFmtId="0" fontId="38" fillId="14" borderId="40" xfId="0" applyFont="1" applyFill="1" applyBorder="1" applyAlignment="1">
      <alignment horizontal="center" vertical="center" wrapText="1"/>
    </xf>
    <xf numFmtId="0" fontId="36" fillId="12" borderId="69" xfId="0" applyFont="1" applyFill="1" applyBorder="1" applyAlignment="1">
      <alignment horizontal="center" vertical="center" textRotation="90" wrapText="1"/>
    </xf>
    <xf numFmtId="0" fontId="37" fillId="13" borderId="70" xfId="0" applyFont="1" applyFill="1" applyBorder="1" applyAlignment="1">
      <alignment horizontal="center" vertical="center" wrapText="1"/>
    </xf>
    <xf numFmtId="0" fontId="37" fillId="13" borderId="71" xfId="0" applyFont="1" applyFill="1" applyBorder="1" applyAlignment="1">
      <alignment horizontal="center" vertical="center" wrapText="1"/>
    </xf>
    <xf numFmtId="0" fontId="37" fillId="13" borderId="72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4" fontId="39" fillId="14" borderId="68" xfId="0" applyNumberFormat="1" applyFont="1" applyFill="1" applyBorder="1" applyAlignment="1">
      <alignment horizontal="center" vertical="center" wrapText="1"/>
    </xf>
    <xf numFmtId="0" fontId="20" fillId="4" borderId="73" xfId="0" applyFont="1" applyFill="1" applyBorder="1" applyAlignment="1">
      <alignment horizontal="center"/>
    </xf>
    <xf numFmtId="0" fontId="20" fillId="4" borderId="74" xfId="0" applyFont="1" applyFill="1" applyBorder="1" applyAlignment="1">
      <alignment horizontal="center"/>
    </xf>
    <xf numFmtId="167" fontId="20" fillId="4" borderId="74" xfId="1" applyNumberFormat="1" applyFont="1" applyFill="1" applyBorder="1" applyAlignment="1">
      <alignment horizontal="center"/>
    </xf>
    <xf numFmtId="43" fontId="20" fillId="4" borderId="74" xfId="1" applyFont="1" applyFill="1" applyBorder="1" applyAlignment="1">
      <alignment horizontal="center"/>
    </xf>
    <xf numFmtId="0" fontId="20" fillId="4" borderId="75" xfId="0" applyFont="1" applyFill="1" applyBorder="1" applyAlignment="1">
      <alignment horizontal="center"/>
    </xf>
    <xf numFmtId="0" fontId="18" fillId="0" borderId="44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167" fontId="18" fillId="0" borderId="10" xfId="1" applyNumberFormat="1" applyFont="1" applyFill="1" applyBorder="1" applyAlignment="1">
      <alignment horizontal="center"/>
    </xf>
    <xf numFmtId="164" fontId="18" fillId="0" borderId="10" xfId="2" applyFont="1" applyFill="1" applyBorder="1" applyAlignment="1">
      <alignment horizontal="left"/>
    </xf>
    <xf numFmtId="43" fontId="18" fillId="0" borderId="10" xfId="1" applyFont="1" applyFill="1" applyBorder="1" applyAlignment="1">
      <alignment horizontal="left"/>
    </xf>
    <xf numFmtId="43" fontId="18" fillId="0" borderId="11" xfId="0" applyNumberFormat="1" applyFont="1" applyBorder="1" applyAlignment="1">
      <alignment horizontal="left"/>
    </xf>
    <xf numFmtId="0" fontId="12" fillId="11" borderId="29" xfId="0" applyFont="1" applyFill="1" applyBorder="1" applyAlignment="1">
      <alignment horizontal="center" wrapText="1"/>
    </xf>
    <xf numFmtId="0" fontId="12" fillId="11" borderId="29" xfId="0" applyFont="1" applyFill="1" applyBorder="1" applyAlignment="1">
      <alignment horizontal="center" vertical="center" wrapText="1"/>
    </xf>
    <xf numFmtId="43" fontId="21" fillId="0" borderId="0" xfId="1" applyFont="1" applyFill="1"/>
    <xf numFmtId="0" fontId="21" fillId="0" borderId="0" xfId="0" applyFont="1"/>
    <xf numFmtId="43" fontId="41" fillId="0" borderId="0" xfId="1" applyFont="1" applyFill="1"/>
    <xf numFmtId="43" fontId="41" fillId="0" borderId="0" xfId="0" applyNumberFormat="1" applyFont="1"/>
    <xf numFmtId="0" fontId="12" fillId="0" borderId="0" xfId="0" applyFont="1" applyAlignment="1">
      <alignment horizontal="center"/>
    </xf>
    <xf numFmtId="43" fontId="25" fillId="0" borderId="1" xfId="1" applyFont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4" borderId="29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22" fillId="0" borderId="39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12" fillId="11" borderId="2" xfId="0" applyFont="1" applyFill="1" applyBorder="1" applyAlignment="1">
      <alignment horizontal="center"/>
    </xf>
    <xf numFmtId="0" fontId="12" fillId="11" borderId="3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6" fillId="7" borderId="51" xfId="0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0" fontId="6" fillId="7" borderId="50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vertical="center" wrapText="1"/>
    </xf>
    <xf numFmtId="0" fontId="6" fillId="7" borderId="26" xfId="0" applyFont="1" applyFill="1" applyBorder="1" applyAlignment="1">
      <alignment vertical="center" wrapText="1"/>
    </xf>
    <xf numFmtId="0" fontId="6" fillId="7" borderId="42" xfId="0" applyFont="1" applyFill="1" applyBorder="1" applyAlignment="1">
      <alignment vertical="center" wrapText="1"/>
    </xf>
    <xf numFmtId="0" fontId="6" fillId="7" borderId="43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7" borderId="45" xfId="0" applyFont="1" applyFill="1" applyBorder="1" applyAlignment="1">
      <alignment vertical="center" wrapText="1"/>
    </xf>
    <xf numFmtId="0" fontId="6" fillId="7" borderId="46" xfId="0" applyFont="1" applyFill="1" applyBorder="1" applyAlignment="1">
      <alignment vertical="center" wrapText="1"/>
    </xf>
    <xf numFmtId="0" fontId="6" fillId="7" borderId="53" xfId="0" applyFont="1" applyFill="1" applyBorder="1" applyAlignment="1">
      <alignment vertical="center" wrapText="1"/>
    </xf>
    <xf numFmtId="0" fontId="6" fillId="7" borderId="28" xfId="0" applyFont="1" applyFill="1" applyBorder="1" applyAlignment="1">
      <alignment vertical="center" wrapText="1"/>
    </xf>
    <xf numFmtId="43" fontId="26" fillId="7" borderId="2" xfId="1" applyFont="1" applyFill="1" applyBorder="1" applyAlignment="1">
      <alignment horizontal="center" vertical="center" wrapText="1"/>
    </xf>
    <xf numFmtId="43" fontId="26" fillId="7" borderId="3" xfId="1" applyFont="1" applyFill="1" applyBorder="1" applyAlignment="1">
      <alignment horizontal="center" vertical="center" wrapText="1"/>
    </xf>
    <xf numFmtId="43" fontId="26" fillId="7" borderId="4" xfId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7" borderId="2" xfId="0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28" fillId="0" borderId="36" xfId="0" applyFont="1" applyBorder="1" applyAlignment="1">
      <alignment horizontal="left"/>
    </xf>
    <xf numFmtId="0" fontId="28" fillId="0" borderId="37" xfId="0" applyFont="1" applyBorder="1" applyAlignment="1">
      <alignment horizontal="left"/>
    </xf>
    <xf numFmtId="0" fontId="28" fillId="0" borderId="38" xfId="0" applyFont="1" applyBorder="1" applyAlignment="1">
      <alignment horizontal="left"/>
    </xf>
    <xf numFmtId="0" fontId="28" fillId="0" borderId="39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27" xfId="0" applyFont="1" applyBorder="1" applyAlignment="1">
      <alignment horizontal="left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7" borderId="36" xfId="0" applyFont="1" applyFill="1" applyBorder="1" applyAlignment="1">
      <alignment horizontal="left" vertical="center" wrapText="1"/>
    </xf>
    <xf numFmtId="0" fontId="31" fillId="7" borderId="38" xfId="0" applyFont="1" applyFill="1" applyBorder="1" applyAlignment="1">
      <alignment horizontal="left" vertical="center" wrapText="1"/>
    </xf>
    <xf numFmtId="0" fontId="31" fillId="7" borderId="39" xfId="0" applyFont="1" applyFill="1" applyBorder="1" applyAlignment="1">
      <alignment horizontal="left" vertical="center" wrapText="1"/>
    </xf>
    <xf numFmtId="0" fontId="31" fillId="7" borderId="27" xfId="0" applyFont="1" applyFill="1" applyBorder="1" applyAlignment="1">
      <alignment horizontal="left" vertical="center" wrapText="1"/>
    </xf>
    <xf numFmtId="0" fontId="26" fillId="7" borderId="2" xfId="0" applyFont="1" applyFill="1" applyBorder="1" applyAlignment="1">
      <alignment horizontal="left" vertical="center" wrapText="1"/>
    </xf>
    <xf numFmtId="0" fontId="26" fillId="7" borderId="4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6" borderId="33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0" fontId="26" fillId="7" borderId="33" xfId="0" applyFont="1" applyFill="1" applyBorder="1" applyAlignment="1">
      <alignment horizontal="left" vertical="center" wrapText="1"/>
    </xf>
    <xf numFmtId="0" fontId="26" fillId="7" borderId="0" xfId="0" applyFont="1" applyFill="1" applyAlignment="1">
      <alignment horizontal="left" vertical="center" wrapText="1"/>
    </xf>
    <xf numFmtId="0" fontId="29" fillId="6" borderId="34" xfId="0" applyFont="1" applyFill="1" applyBorder="1" applyAlignment="1">
      <alignment horizontal="center" vertical="center"/>
    </xf>
    <xf numFmtId="0" fontId="29" fillId="6" borderId="35" xfId="0" applyFont="1" applyFill="1" applyBorder="1" applyAlignment="1">
      <alignment horizontal="center" vertical="center"/>
    </xf>
  </cellXfs>
  <cellStyles count="632">
    <cellStyle name="Hiperlink" xfId="65" builtinId="8" hidden="1"/>
    <cellStyle name="Hiperlink" xfId="69" builtinId="8" hidden="1"/>
    <cellStyle name="Hiperlink" xfId="73" builtinId="8" hidden="1"/>
    <cellStyle name="Hiperlink" xfId="77" builtinId="8" hidden="1"/>
    <cellStyle name="Hiperlink" xfId="81" builtinId="8" hidden="1"/>
    <cellStyle name="Hiperlink" xfId="85" builtinId="8" hidden="1"/>
    <cellStyle name="Hiperlink" xfId="89" builtinId="8" hidden="1"/>
    <cellStyle name="Hiperlink" xfId="93" builtinId="8" hidden="1"/>
    <cellStyle name="Hiperlink" xfId="97" builtinId="8" hidden="1"/>
    <cellStyle name="Hiperlink" xfId="101" builtinId="8" hidden="1"/>
    <cellStyle name="Hiperlink" xfId="105" builtinId="8" hidden="1"/>
    <cellStyle name="Hiperlink" xfId="109" builtinId="8" hidden="1"/>
    <cellStyle name="Hiperlink" xfId="113" builtinId="8" hidden="1"/>
    <cellStyle name="Hiperlink" xfId="117" builtinId="8" hidden="1"/>
    <cellStyle name="Hiperlink" xfId="121" builtinId="8" hidden="1"/>
    <cellStyle name="Hiperlink" xfId="125" builtinId="8" hidden="1"/>
    <cellStyle name="Hiperlink" xfId="129" builtinId="8" hidden="1"/>
    <cellStyle name="Hiperlink" xfId="133" builtinId="8" hidden="1"/>
    <cellStyle name="Hiperlink" xfId="137" builtinId="8" hidden="1"/>
    <cellStyle name="Hiperlink" xfId="141" builtinId="8" hidden="1"/>
    <cellStyle name="Hiperlink" xfId="145" builtinId="8" hidden="1"/>
    <cellStyle name="Hiperlink" xfId="149" builtinId="8" hidden="1"/>
    <cellStyle name="Hiperlink" xfId="153" builtinId="8" hidden="1"/>
    <cellStyle name="Hiperlink" xfId="157" builtinId="8" hidden="1"/>
    <cellStyle name="Hiperlink" xfId="161" builtinId="8" hidden="1"/>
    <cellStyle name="Hiperlink" xfId="165" builtinId="8" hidden="1"/>
    <cellStyle name="Hiperlink" xfId="169" builtinId="8" hidden="1"/>
    <cellStyle name="Hiperlink" xfId="173" builtinId="8" hidden="1"/>
    <cellStyle name="Hiperlink" xfId="177" builtinId="8" hidden="1"/>
    <cellStyle name="Hiperlink" xfId="181" builtinId="8" hidden="1"/>
    <cellStyle name="Hiperlink" xfId="185" builtinId="8" hidden="1"/>
    <cellStyle name="Hiperlink" xfId="189" builtinId="8" hidden="1"/>
    <cellStyle name="Hiperlink" xfId="193" builtinId="8" hidden="1"/>
    <cellStyle name="Hiperlink" xfId="197" builtinId="8" hidden="1"/>
    <cellStyle name="Hiperlink" xfId="201" builtinId="8" hidden="1"/>
    <cellStyle name="Hiperlink" xfId="205" builtinId="8" hidden="1"/>
    <cellStyle name="Hiperlink" xfId="209" builtinId="8" hidden="1"/>
    <cellStyle name="Hiperlink" xfId="213" builtinId="8" hidden="1"/>
    <cellStyle name="Hiperlink" xfId="217" builtinId="8" hidden="1"/>
    <cellStyle name="Hiperlink" xfId="221" builtinId="8" hidden="1"/>
    <cellStyle name="Hiperlink" xfId="225" builtinId="8" hidden="1"/>
    <cellStyle name="Hiperlink" xfId="229" builtinId="8" hidden="1"/>
    <cellStyle name="Hiperlink" xfId="233" builtinId="8" hidden="1"/>
    <cellStyle name="Hiperlink" xfId="237" builtinId="8" hidden="1"/>
    <cellStyle name="Hiperlink" xfId="241" builtinId="8" hidden="1"/>
    <cellStyle name="Hiperlink" xfId="245" builtinId="8" hidden="1"/>
    <cellStyle name="Hiperlink" xfId="249" builtinId="8" hidden="1"/>
    <cellStyle name="Hiperlink" xfId="253" builtinId="8" hidden="1"/>
    <cellStyle name="Hiperlink" xfId="257" builtinId="8" hidden="1"/>
    <cellStyle name="Hiperlink" xfId="261" builtinId="8" hidden="1"/>
    <cellStyle name="Hiperlink" xfId="265" builtinId="8" hidden="1"/>
    <cellStyle name="Hiperlink" xfId="269" builtinId="8" hidden="1"/>
    <cellStyle name="Hiperlink" xfId="273" builtinId="8" hidden="1"/>
    <cellStyle name="Hiperlink" xfId="277" builtinId="8" hidden="1"/>
    <cellStyle name="Hiperlink" xfId="281" builtinId="8" hidden="1"/>
    <cellStyle name="Hiperlink" xfId="285" builtinId="8" hidden="1"/>
    <cellStyle name="Hiperlink" xfId="289" builtinId="8" hidden="1"/>
    <cellStyle name="Hiperlink" xfId="293" builtinId="8" hidden="1"/>
    <cellStyle name="Hiperlink" xfId="297" builtinId="8" hidden="1"/>
    <cellStyle name="Hiperlink" xfId="301" builtinId="8" hidden="1"/>
    <cellStyle name="Hiperlink" xfId="305" builtinId="8" hidden="1"/>
    <cellStyle name="Hiperlink" xfId="309" builtinId="8" hidden="1"/>
    <cellStyle name="Hiperlink" xfId="313" builtinId="8" hidden="1"/>
    <cellStyle name="Hiperlink" xfId="317" builtinId="8" hidden="1"/>
    <cellStyle name="Hiperlink" xfId="321" builtinId="8" hidden="1"/>
    <cellStyle name="Hiperlink" xfId="325" builtinId="8" hidden="1"/>
    <cellStyle name="Hiperlink" xfId="329" builtinId="8" hidden="1"/>
    <cellStyle name="Hiperlink" xfId="333" builtinId="8" hidden="1"/>
    <cellStyle name="Hiperlink" xfId="337" builtinId="8" hidden="1"/>
    <cellStyle name="Hiperlink" xfId="341" builtinId="8" hidden="1"/>
    <cellStyle name="Hiperlink" xfId="345" builtinId="8" hidden="1"/>
    <cellStyle name="Hiperlink" xfId="349" builtinId="8" hidden="1"/>
    <cellStyle name="Hiperlink" xfId="353" builtinId="8" hidden="1"/>
    <cellStyle name="Hiperlink" xfId="357" builtinId="8" hidden="1"/>
    <cellStyle name="Hiperlink" xfId="361" builtinId="8" hidden="1"/>
    <cellStyle name="Hiperlink" xfId="365" builtinId="8" hidden="1"/>
    <cellStyle name="Hiperlink" xfId="369" builtinId="8" hidden="1"/>
    <cellStyle name="Hiperlink" xfId="373" builtinId="8" hidden="1"/>
    <cellStyle name="Hiperlink" xfId="377" builtinId="8" hidden="1"/>
    <cellStyle name="Hiperlink" xfId="381" builtinId="8" hidden="1"/>
    <cellStyle name="Hiperlink" xfId="385" builtinId="8" hidden="1"/>
    <cellStyle name="Hiperlink" xfId="389" builtinId="8" hidden="1"/>
    <cellStyle name="Hiperlink" xfId="393" builtinId="8" hidden="1"/>
    <cellStyle name="Hiperlink" xfId="397" builtinId="8" hidden="1"/>
    <cellStyle name="Hiperlink" xfId="401" builtinId="8" hidden="1"/>
    <cellStyle name="Hiperlink" xfId="405" builtinId="8" hidden="1"/>
    <cellStyle name="Hiperlink" xfId="409" builtinId="8" hidden="1"/>
    <cellStyle name="Hiperlink" xfId="413" builtinId="8" hidden="1"/>
    <cellStyle name="Hiperlink" xfId="417" builtinId="8" hidden="1"/>
    <cellStyle name="Hiperlink" xfId="421" builtinId="8" hidden="1"/>
    <cellStyle name="Hiperlink" xfId="425" builtinId="8" hidden="1"/>
    <cellStyle name="Hiperlink" xfId="429" builtinId="8" hidden="1"/>
    <cellStyle name="Hiperlink" xfId="433" builtinId="8" hidden="1"/>
    <cellStyle name="Hiperlink" xfId="437" builtinId="8" hidden="1"/>
    <cellStyle name="Hiperlink" xfId="441" builtinId="8" hidden="1"/>
    <cellStyle name="Hiperlink" xfId="445" builtinId="8" hidden="1"/>
    <cellStyle name="Hiperlink" xfId="449" builtinId="8" hidden="1"/>
    <cellStyle name="Hiperlink" xfId="453" builtinId="8" hidden="1"/>
    <cellStyle name="Hiperlink" xfId="457" builtinId="8" hidden="1"/>
    <cellStyle name="Hiperlink" xfId="461" builtinId="8" hidden="1"/>
    <cellStyle name="Hiperlink" xfId="465" builtinId="8" hidden="1"/>
    <cellStyle name="Hiperlink" xfId="469" builtinId="8" hidden="1"/>
    <cellStyle name="Hiperlink" xfId="473" builtinId="8" hidden="1"/>
    <cellStyle name="Hiperlink" xfId="477" builtinId="8" hidden="1"/>
    <cellStyle name="Hiperlink" xfId="481" builtinId="8" hidden="1"/>
    <cellStyle name="Hiperlink" xfId="485" builtinId="8" hidden="1"/>
    <cellStyle name="Hiperlink" xfId="489" builtinId="8" hidden="1"/>
    <cellStyle name="Hiperlink" xfId="493" builtinId="8" hidden="1"/>
    <cellStyle name="Hiperlink" xfId="497" builtinId="8" hidden="1"/>
    <cellStyle name="Hiperlink" xfId="501" builtinId="8" hidden="1"/>
    <cellStyle name="Hiperlink" xfId="505" builtinId="8" hidden="1"/>
    <cellStyle name="Hiperlink" xfId="509" builtinId="8" hidden="1"/>
    <cellStyle name="Hiperlink" xfId="513" builtinId="8" hidden="1"/>
    <cellStyle name="Hiperlink" xfId="517" builtinId="8" hidden="1"/>
    <cellStyle name="Hiperlink" xfId="521" builtinId="8" hidden="1"/>
    <cellStyle name="Hiperlink" xfId="525" builtinId="8" hidden="1"/>
    <cellStyle name="Hiperlink" xfId="529" builtinId="8" hidden="1"/>
    <cellStyle name="Hiperlink" xfId="533" builtinId="8" hidden="1"/>
    <cellStyle name="Hiperlink" xfId="537" builtinId="8" hidden="1"/>
    <cellStyle name="Hiperlink" xfId="541" builtinId="8" hidden="1"/>
    <cellStyle name="Hiperlink" xfId="545" builtinId="8" hidden="1"/>
    <cellStyle name="Hiperlink" xfId="549" builtinId="8" hidden="1"/>
    <cellStyle name="Hiperlink" xfId="553" builtinId="8" hidden="1"/>
    <cellStyle name="Hiperlink" xfId="557" builtinId="8" hidden="1"/>
    <cellStyle name="Hiperlink" xfId="561" builtinId="8" hidden="1"/>
    <cellStyle name="Hiperlink" xfId="565" builtinId="8" hidden="1"/>
    <cellStyle name="Hiperlink" xfId="569" builtinId="8" hidden="1"/>
    <cellStyle name="Hiperlink" xfId="573" builtinId="8" hidden="1"/>
    <cellStyle name="Hiperlink" xfId="577" builtinId="8" hidden="1"/>
    <cellStyle name="Hiperlink" xfId="581" builtinId="8" hidden="1"/>
    <cellStyle name="Hiperlink" xfId="585" builtinId="8" hidden="1"/>
    <cellStyle name="Hiperlink" xfId="589" builtinId="8" hidden="1"/>
    <cellStyle name="Hiperlink" xfId="593" builtinId="8" hidden="1"/>
    <cellStyle name="Hiperlink" xfId="597" builtinId="8" hidden="1"/>
    <cellStyle name="Hiperlink" xfId="601" builtinId="8" hidden="1"/>
    <cellStyle name="Hiperlink" xfId="605" builtinId="8" hidden="1"/>
    <cellStyle name="Hiperlink" xfId="609" builtinId="8" hidden="1"/>
    <cellStyle name="Hiperlink" xfId="613" builtinId="8" hidden="1"/>
    <cellStyle name="Hiperlink" xfId="617" builtinId="8" hidden="1"/>
    <cellStyle name="Hiperlink" xfId="621" builtinId="8" hidden="1"/>
    <cellStyle name="Hiperlink" xfId="625" builtinId="8" hidden="1"/>
    <cellStyle name="Hiperlink" xfId="629" builtinId="8" hidden="1"/>
    <cellStyle name="Hiperlink" xfId="627" builtinId="8" hidden="1"/>
    <cellStyle name="Hiperlink" xfId="623" builtinId="8" hidden="1"/>
    <cellStyle name="Hiperlink" xfId="619" builtinId="8" hidden="1"/>
    <cellStyle name="Hiperlink" xfId="615" builtinId="8" hidden="1"/>
    <cellStyle name="Hiperlink" xfId="611" builtinId="8" hidden="1"/>
    <cellStyle name="Hiperlink" xfId="607" builtinId="8" hidden="1"/>
    <cellStyle name="Hiperlink" xfId="603" builtinId="8" hidden="1"/>
    <cellStyle name="Hiperlink" xfId="599" builtinId="8" hidden="1"/>
    <cellStyle name="Hiperlink" xfId="595" builtinId="8" hidden="1"/>
    <cellStyle name="Hiperlink" xfId="591" builtinId="8" hidden="1"/>
    <cellStyle name="Hiperlink" xfId="587" builtinId="8" hidden="1"/>
    <cellStyle name="Hiperlink" xfId="583" builtinId="8" hidden="1"/>
    <cellStyle name="Hiperlink" xfId="579" builtinId="8" hidden="1"/>
    <cellStyle name="Hiperlink" xfId="575" builtinId="8" hidden="1"/>
    <cellStyle name="Hiperlink" xfId="571" builtinId="8" hidden="1"/>
    <cellStyle name="Hiperlink" xfId="567" builtinId="8" hidden="1"/>
    <cellStyle name="Hiperlink" xfId="563" builtinId="8" hidden="1"/>
    <cellStyle name="Hiperlink" xfId="559" builtinId="8" hidden="1"/>
    <cellStyle name="Hiperlink" xfId="555" builtinId="8" hidden="1"/>
    <cellStyle name="Hiperlink" xfId="551" builtinId="8" hidden="1"/>
    <cellStyle name="Hiperlink" xfId="547" builtinId="8" hidden="1"/>
    <cellStyle name="Hiperlink" xfId="543" builtinId="8" hidden="1"/>
    <cellStyle name="Hiperlink" xfId="539" builtinId="8" hidden="1"/>
    <cellStyle name="Hiperlink" xfId="535" builtinId="8" hidden="1"/>
    <cellStyle name="Hiperlink" xfId="531" builtinId="8" hidden="1"/>
    <cellStyle name="Hiperlink" xfId="527" builtinId="8" hidden="1"/>
    <cellStyle name="Hiperlink" xfId="523" builtinId="8" hidden="1"/>
    <cellStyle name="Hiperlink" xfId="519" builtinId="8" hidden="1"/>
    <cellStyle name="Hiperlink" xfId="515" builtinId="8" hidden="1"/>
    <cellStyle name="Hiperlink" xfId="511" builtinId="8" hidden="1"/>
    <cellStyle name="Hiperlink" xfId="507" builtinId="8" hidden="1"/>
    <cellStyle name="Hiperlink" xfId="503" builtinId="8" hidden="1"/>
    <cellStyle name="Hiperlink" xfId="499" builtinId="8" hidden="1"/>
    <cellStyle name="Hiperlink" xfId="495" builtinId="8" hidden="1"/>
    <cellStyle name="Hiperlink" xfId="491" builtinId="8" hidden="1"/>
    <cellStyle name="Hiperlink" xfId="487" builtinId="8" hidden="1"/>
    <cellStyle name="Hiperlink" xfId="483" builtinId="8" hidden="1"/>
    <cellStyle name="Hiperlink" xfId="479" builtinId="8" hidden="1"/>
    <cellStyle name="Hiperlink" xfId="475" builtinId="8" hidden="1"/>
    <cellStyle name="Hiperlink" xfId="471" builtinId="8" hidden="1"/>
    <cellStyle name="Hiperlink" xfId="467" builtinId="8" hidden="1"/>
    <cellStyle name="Hiperlink" xfId="463" builtinId="8" hidden="1"/>
    <cellStyle name="Hiperlink" xfId="459" builtinId="8" hidden="1"/>
    <cellStyle name="Hiperlink" xfId="455" builtinId="8" hidden="1"/>
    <cellStyle name="Hiperlink" xfId="451" builtinId="8" hidden="1"/>
    <cellStyle name="Hiperlink" xfId="447" builtinId="8" hidden="1"/>
    <cellStyle name="Hiperlink" xfId="443" builtinId="8" hidden="1"/>
    <cellStyle name="Hiperlink" xfId="439" builtinId="8" hidden="1"/>
    <cellStyle name="Hiperlink" xfId="435" builtinId="8" hidden="1"/>
    <cellStyle name="Hiperlink" xfId="431" builtinId="8" hidden="1"/>
    <cellStyle name="Hiperlink" xfId="427" builtinId="8" hidden="1"/>
    <cellStyle name="Hiperlink" xfId="423" builtinId="8" hidden="1"/>
    <cellStyle name="Hiperlink" xfId="419" builtinId="8" hidden="1"/>
    <cellStyle name="Hiperlink" xfId="415" builtinId="8" hidden="1"/>
    <cellStyle name="Hiperlink" xfId="411" builtinId="8" hidden="1"/>
    <cellStyle name="Hiperlink" xfId="407" builtinId="8" hidden="1"/>
    <cellStyle name="Hiperlink" xfId="403" builtinId="8" hidden="1"/>
    <cellStyle name="Hiperlink" xfId="399" builtinId="8" hidden="1"/>
    <cellStyle name="Hiperlink" xfId="395" builtinId="8" hidden="1"/>
    <cellStyle name="Hiperlink" xfId="391" builtinId="8" hidden="1"/>
    <cellStyle name="Hiperlink" xfId="387" builtinId="8" hidden="1"/>
    <cellStyle name="Hiperlink" xfId="383" builtinId="8" hidden="1"/>
    <cellStyle name="Hiperlink" xfId="379" builtinId="8" hidden="1"/>
    <cellStyle name="Hiperlink" xfId="375" builtinId="8" hidden="1"/>
    <cellStyle name="Hiperlink" xfId="371" builtinId="8" hidden="1"/>
    <cellStyle name="Hiperlink" xfId="367" builtinId="8" hidden="1"/>
    <cellStyle name="Hiperlink" xfId="363" builtinId="8" hidden="1"/>
    <cellStyle name="Hiperlink" xfId="359" builtinId="8" hidden="1"/>
    <cellStyle name="Hiperlink" xfId="355" builtinId="8" hidden="1"/>
    <cellStyle name="Hiperlink" xfId="351" builtinId="8" hidden="1"/>
    <cellStyle name="Hiperlink" xfId="347" builtinId="8" hidden="1"/>
    <cellStyle name="Hiperlink" xfId="343" builtinId="8" hidden="1"/>
    <cellStyle name="Hiperlink" xfId="339" builtinId="8" hidden="1"/>
    <cellStyle name="Hiperlink" xfId="335" builtinId="8" hidden="1"/>
    <cellStyle name="Hiperlink" xfId="331" builtinId="8" hidden="1"/>
    <cellStyle name="Hiperlink" xfId="327" builtinId="8" hidden="1"/>
    <cellStyle name="Hiperlink" xfId="323" builtinId="8" hidden="1"/>
    <cellStyle name="Hiperlink" xfId="319" builtinId="8" hidden="1"/>
    <cellStyle name="Hiperlink" xfId="315" builtinId="8" hidden="1"/>
    <cellStyle name="Hiperlink" xfId="311" builtinId="8" hidden="1"/>
    <cellStyle name="Hiperlink" xfId="307" builtinId="8" hidden="1"/>
    <cellStyle name="Hiperlink" xfId="303" builtinId="8" hidden="1"/>
    <cellStyle name="Hiperlink" xfId="299" builtinId="8" hidden="1"/>
    <cellStyle name="Hiperlink" xfId="295" builtinId="8" hidden="1"/>
    <cellStyle name="Hiperlink" xfId="291" builtinId="8" hidden="1"/>
    <cellStyle name="Hiperlink" xfId="287" builtinId="8" hidden="1"/>
    <cellStyle name="Hiperlink" xfId="283" builtinId="8" hidden="1"/>
    <cellStyle name="Hiperlink" xfId="279" builtinId="8" hidden="1"/>
    <cellStyle name="Hiperlink" xfId="275" builtinId="8" hidden="1"/>
    <cellStyle name="Hiperlink" xfId="271" builtinId="8" hidden="1"/>
    <cellStyle name="Hiperlink" xfId="267" builtinId="8" hidden="1"/>
    <cellStyle name="Hiperlink" xfId="263" builtinId="8" hidden="1"/>
    <cellStyle name="Hiperlink" xfId="259" builtinId="8" hidden="1"/>
    <cellStyle name="Hiperlink" xfId="255" builtinId="8" hidden="1"/>
    <cellStyle name="Hiperlink" xfId="251" builtinId="8" hidden="1"/>
    <cellStyle name="Hiperlink" xfId="247" builtinId="8" hidden="1"/>
    <cellStyle name="Hiperlink" xfId="243" builtinId="8" hidden="1"/>
    <cellStyle name="Hiperlink" xfId="239" builtinId="8" hidden="1"/>
    <cellStyle name="Hiperlink" xfId="235" builtinId="8" hidden="1"/>
    <cellStyle name="Hiperlink" xfId="231" builtinId="8" hidden="1"/>
    <cellStyle name="Hiperlink" xfId="227" builtinId="8" hidden="1"/>
    <cellStyle name="Hiperlink" xfId="223" builtinId="8" hidden="1"/>
    <cellStyle name="Hiperlink" xfId="219" builtinId="8" hidden="1"/>
    <cellStyle name="Hiperlink" xfId="215" builtinId="8" hidden="1"/>
    <cellStyle name="Hiperlink" xfId="211" builtinId="8" hidden="1"/>
    <cellStyle name="Hiperlink" xfId="207" builtinId="8" hidden="1"/>
    <cellStyle name="Hiperlink" xfId="203" builtinId="8" hidden="1"/>
    <cellStyle name="Hiperlink" xfId="199" builtinId="8" hidden="1"/>
    <cellStyle name="Hiperlink" xfId="195" builtinId="8" hidden="1"/>
    <cellStyle name="Hiperlink" xfId="191" builtinId="8" hidden="1"/>
    <cellStyle name="Hiperlink" xfId="187" builtinId="8" hidden="1"/>
    <cellStyle name="Hiperlink" xfId="183" builtinId="8" hidden="1"/>
    <cellStyle name="Hiperlink" xfId="179" builtinId="8" hidden="1"/>
    <cellStyle name="Hiperlink" xfId="175" builtinId="8" hidden="1"/>
    <cellStyle name="Hiperlink" xfId="171" builtinId="8" hidden="1"/>
    <cellStyle name="Hiperlink" xfId="167" builtinId="8" hidden="1"/>
    <cellStyle name="Hiperlink" xfId="163" builtinId="8" hidden="1"/>
    <cellStyle name="Hiperlink" xfId="159" builtinId="8" hidden="1"/>
    <cellStyle name="Hiperlink" xfId="155" builtinId="8" hidden="1"/>
    <cellStyle name="Hiperlink" xfId="151" builtinId="8" hidden="1"/>
    <cellStyle name="Hiperlink" xfId="147" builtinId="8" hidden="1"/>
    <cellStyle name="Hiperlink" xfId="143" builtinId="8" hidden="1"/>
    <cellStyle name="Hiperlink" xfId="139" builtinId="8" hidden="1"/>
    <cellStyle name="Hiperlink" xfId="135" builtinId="8" hidden="1"/>
    <cellStyle name="Hiperlink" xfId="131" builtinId="8" hidden="1"/>
    <cellStyle name="Hiperlink" xfId="127" builtinId="8" hidden="1"/>
    <cellStyle name="Hiperlink" xfId="123" builtinId="8" hidden="1"/>
    <cellStyle name="Hiperlink" xfId="119" builtinId="8" hidden="1"/>
    <cellStyle name="Hiperlink" xfId="115" builtinId="8" hidden="1"/>
    <cellStyle name="Hiperlink" xfId="111" builtinId="8" hidden="1"/>
    <cellStyle name="Hiperlink" xfId="107" builtinId="8" hidden="1"/>
    <cellStyle name="Hiperlink" xfId="103" builtinId="8" hidden="1"/>
    <cellStyle name="Hiperlink" xfId="99" builtinId="8" hidden="1"/>
    <cellStyle name="Hiperlink" xfId="95" builtinId="8" hidden="1"/>
    <cellStyle name="Hiperlink" xfId="91" builtinId="8" hidden="1"/>
    <cellStyle name="Hiperlink" xfId="87" builtinId="8" hidden="1"/>
    <cellStyle name="Hiperlink" xfId="83" builtinId="8" hidden="1"/>
    <cellStyle name="Hiperlink" xfId="79" builtinId="8" hidden="1"/>
    <cellStyle name="Hiperlink" xfId="75" builtinId="8" hidden="1"/>
    <cellStyle name="Hiperlink" xfId="71" builtinId="8" hidden="1"/>
    <cellStyle name="Hiperlink" xfId="67" builtinId="8" hidden="1"/>
    <cellStyle name="Hiperlink" xfId="63" builtinId="8" hidden="1"/>
    <cellStyle name="Hiperlink" xfId="23" builtinId="8" hidden="1"/>
    <cellStyle name="Hiperlink" xfId="25" builtinId="8" hidden="1"/>
    <cellStyle name="Hiperlink" xfId="29" builtinId="8" hidden="1"/>
    <cellStyle name="Hiperlink" xfId="31" builtinId="8" hidden="1"/>
    <cellStyle name="Hiperlink" xfId="33" builtinId="8" hidden="1"/>
    <cellStyle name="Hiperlink" xfId="37" builtinId="8" hidden="1"/>
    <cellStyle name="Hiperlink" xfId="39" builtinId="8" hidden="1"/>
    <cellStyle name="Hiperlink" xfId="41" builtinId="8" hidden="1"/>
    <cellStyle name="Hiperlink" xfId="45" builtinId="8" hidden="1"/>
    <cellStyle name="Hiperlink" xfId="47" builtinId="8" hidden="1"/>
    <cellStyle name="Hiperlink" xfId="49" builtinId="8" hidden="1"/>
    <cellStyle name="Hiperlink" xfId="53" builtinId="8" hidden="1"/>
    <cellStyle name="Hiperlink" xfId="55" builtinId="8" hidden="1"/>
    <cellStyle name="Hiperlink" xfId="57" builtinId="8" hidden="1"/>
    <cellStyle name="Hiperlink" xfId="61" builtinId="8" hidden="1"/>
    <cellStyle name="Hiperlink" xfId="59" builtinId="8" hidden="1"/>
    <cellStyle name="Hiperlink" xfId="51" builtinId="8" hidden="1"/>
    <cellStyle name="Hiperlink" xfId="43" builtinId="8" hidden="1"/>
    <cellStyle name="Hiperlink" xfId="35" builtinId="8" hidden="1"/>
    <cellStyle name="Hiperlink" xfId="27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21" builtinId="8" hidden="1"/>
    <cellStyle name="Hiperlink" xfId="19" builtinId="8" hidden="1"/>
    <cellStyle name="Hiperlink" xfId="7" builtinId="8" hidden="1"/>
    <cellStyle name="Hiperlink" xfId="9" builtinId="8" hidden="1"/>
    <cellStyle name="Hiperlink" xfId="5" builtinId="8" hidden="1"/>
    <cellStyle name="Hiperlink" xfId="3" builtinId="8" hidden="1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2" builtinId="9" hidden="1"/>
    <cellStyle name="Hiperlink Visitado" xfId="284" builtinId="9" hidden="1"/>
    <cellStyle name="Hiperlink Visitado" xfId="286" builtinId="9" hidden="1"/>
    <cellStyle name="Hiperlink Visitado" xfId="290" builtinId="9" hidden="1"/>
    <cellStyle name="Hiperlink Visitado" xfId="292" builtinId="9" hidden="1"/>
    <cellStyle name="Hiperlink Visitado" xfId="294" builtinId="9" hidden="1"/>
    <cellStyle name="Hiperlink Visitado" xfId="298" builtinId="9" hidden="1"/>
    <cellStyle name="Hiperlink Visitado" xfId="300" builtinId="9" hidden="1"/>
    <cellStyle name="Hiperlink Visitado" xfId="302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4" builtinId="9" hidden="1"/>
    <cellStyle name="Hiperlink Visitado" xfId="316" builtinId="9" hidden="1"/>
    <cellStyle name="Hiperlink Visitado" xfId="318" builtinId="9" hidden="1"/>
    <cellStyle name="Hiperlink Visitado" xfId="322" builtinId="9" hidden="1"/>
    <cellStyle name="Hiperlink Visitado" xfId="324" builtinId="9" hidden="1"/>
    <cellStyle name="Hiperlink Visitado" xfId="326" builtinId="9" hidden="1"/>
    <cellStyle name="Hiperlink Visitado" xfId="330" builtinId="9" hidden="1"/>
    <cellStyle name="Hiperlink Visitado" xfId="332" builtinId="9" hidden="1"/>
    <cellStyle name="Hiperlink Visitado" xfId="334" builtinId="9" hidden="1"/>
    <cellStyle name="Hiperlink Visitado" xfId="338" builtinId="9" hidden="1"/>
    <cellStyle name="Hiperlink Visitado" xfId="340" builtinId="9" hidden="1"/>
    <cellStyle name="Hiperlink Visitado" xfId="342" builtinId="9" hidden="1"/>
    <cellStyle name="Hiperlink Visitado" xfId="346" builtinId="9" hidden="1"/>
    <cellStyle name="Hiperlink Visitado" xfId="348" builtinId="9" hidden="1"/>
    <cellStyle name="Hiperlink Visitado" xfId="350" builtinId="9" hidden="1"/>
    <cellStyle name="Hiperlink Visitado" xfId="354" builtinId="9" hidden="1"/>
    <cellStyle name="Hiperlink Visitado" xfId="356" builtinId="9" hidden="1"/>
    <cellStyle name="Hiperlink Visitado" xfId="358" builtinId="9" hidden="1"/>
    <cellStyle name="Hiperlink Visitado" xfId="362" builtinId="9" hidden="1"/>
    <cellStyle name="Hiperlink Visitado" xfId="364" builtinId="9" hidden="1"/>
    <cellStyle name="Hiperlink Visitado" xfId="366" builtinId="9" hidden="1"/>
    <cellStyle name="Hiperlink Visitado" xfId="370" builtinId="9" hidden="1"/>
    <cellStyle name="Hiperlink Visitado" xfId="372" builtinId="9" hidden="1"/>
    <cellStyle name="Hiperlink Visitado" xfId="374" builtinId="9" hidden="1"/>
    <cellStyle name="Hiperlink Visitado" xfId="378" builtinId="9" hidden="1"/>
    <cellStyle name="Hiperlink Visitado" xfId="380" builtinId="9" hidden="1"/>
    <cellStyle name="Hiperlink Visitado" xfId="382" builtinId="9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4" builtinId="9" hidden="1"/>
    <cellStyle name="Hiperlink Visitado" xfId="396" builtinId="9" hidden="1"/>
    <cellStyle name="Hiperlink Visitado" xfId="398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8" builtinId="9" hidden="1"/>
    <cellStyle name="Hiperlink Visitado" xfId="420" builtinId="9" hidden="1"/>
    <cellStyle name="Hiperlink Visitado" xfId="422" builtinId="9" hidden="1"/>
    <cellStyle name="Hiperlink Visitado" xfId="426" builtinId="9" hidden="1"/>
    <cellStyle name="Hiperlink Visitado" xfId="428" builtinId="9" hidden="1"/>
    <cellStyle name="Hiperlink Visitado" xfId="430" builtinId="9" hidden="1"/>
    <cellStyle name="Hiperlink Visitado" xfId="434" builtinId="9" hidden="1"/>
    <cellStyle name="Hiperlink Visitado" xfId="436" builtinId="9" hidden="1"/>
    <cellStyle name="Hiperlink Visitado" xfId="438" builtinId="9" hidden="1"/>
    <cellStyle name="Hiperlink Visitado" xfId="442" builtinId="9" hidden="1"/>
    <cellStyle name="Hiperlink Visitado" xfId="444" builtinId="9" hidden="1"/>
    <cellStyle name="Hiperlink Visitado" xfId="446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8" builtinId="9" hidden="1"/>
    <cellStyle name="Hiperlink Visitado" xfId="460" builtinId="9" hidden="1"/>
    <cellStyle name="Hiperlink Visitado" xfId="462" builtinId="9" hidden="1"/>
    <cellStyle name="Hiperlink Visitado" xfId="466" builtinId="9" hidden="1"/>
    <cellStyle name="Hiperlink Visitado" xfId="468" builtinId="9" hidden="1"/>
    <cellStyle name="Hiperlink Visitado" xfId="470" builtinId="9" hidden="1"/>
    <cellStyle name="Hiperlink Visitado" xfId="474" builtinId="9" hidden="1"/>
    <cellStyle name="Hiperlink Visitado" xfId="476" builtinId="9" hidden="1"/>
    <cellStyle name="Hiperlink Visitado" xfId="478" builtinId="9" hidden="1"/>
    <cellStyle name="Hiperlink Visitado" xfId="482" builtinId="9" hidden="1"/>
    <cellStyle name="Hiperlink Visitado" xfId="484" builtinId="9" hidden="1"/>
    <cellStyle name="Hiperlink Visitado" xfId="486" builtinId="9" hidden="1"/>
    <cellStyle name="Hiperlink Visitado" xfId="490" builtinId="9" hidden="1"/>
    <cellStyle name="Hiperlink Visitado" xfId="492" builtinId="9" hidden="1"/>
    <cellStyle name="Hiperlink Visitado" xfId="494" builtinId="9" hidden="1"/>
    <cellStyle name="Hiperlink Visitado" xfId="498" builtinId="9" hidden="1"/>
    <cellStyle name="Hiperlink Visitado" xfId="500" builtinId="9" hidden="1"/>
    <cellStyle name="Hiperlink Visitado" xfId="502" builtinId="9" hidden="1"/>
    <cellStyle name="Hiperlink Visitado" xfId="506" builtinId="9" hidden="1"/>
    <cellStyle name="Hiperlink Visitado" xfId="508" builtinId="9" hidden="1"/>
    <cellStyle name="Hiperlink Visitado" xfId="510" builtinId="9" hidden="1"/>
    <cellStyle name="Hiperlink Visitado" xfId="514" builtinId="9" hidden="1"/>
    <cellStyle name="Hiperlink Visitado" xfId="516" builtinId="9" hidden="1"/>
    <cellStyle name="Hiperlink Visitado" xfId="518" builtinId="9" hidden="1"/>
    <cellStyle name="Hiperlink Visitado" xfId="522" builtinId="9" hidden="1"/>
    <cellStyle name="Hiperlink Visitado" xfId="524" builtinId="9" hidden="1"/>
    <cellStyle name="Hiperlink Visitado" xfId="526" builtinId="9" hidden="1"/>
    <cellStyle name="Hiperlink Visitado" xfId="530" builtinId="9" hidden="1"/>
    <cellStyle name="Hiperlink Visitado" xfId="532" builtinId="9" hidden="1"/>
    <cellStyle name="Hiperlink Visitado" xfId="534" builtinId="9" hidden="1"/>
    <cellStyle name="Hiperlink Visitado" xfId="538" builtinId="9" hidden="1"/>
    <cellStyle name="Hiperlink Visitado" xfId="540" builtinId="9" hidden="1"/>
    <cellStyle name="Hiperlink Visitado" xfId="542" builtinId="9" hidden="1"/>
    <cellStyle name="Hiperlink Visitado" xfId="546" builtinId="9" hidden="1"/>
    <cellStyle name="Hiperlink Visitado" xfId="548" builtinId="9" hidden="1"/>
    <cellStyle name="Hiperlink Visitado" xfId="550" builtinId="9" hidden="1"/>
    <cellStyle name="Hiperlink Visitado" xfId="554" builtinId="9" hidden="1"/>
    <cellStyle name="Hiperlink Visitado" xfId="556" builtinId="9" hidden="1"/>
    <cellStyle name="Hiperlink Visitado" xfId="558" builtinId="9" hidden="1"/>
    <cellStyle name="Hiperlink Visitado" xfId="562" builtinId="9" hidden="1"/>
    <cellStyle name="Hiperlink Visitado" xfId="564" builtinId="9" hidden="1"/>
    <cellStyle name="Hiperlink Visitado" xfId="566" builtinId="9" hidden="1"/>
    <cellStyle name="Hiperlink Visitado" xfId="570" builtinId="9" hidden="1"/>
    <cellStyle name="Hiperlink Visitado" xfId="572" builtinId="9" hidden="1"/>
    <cellStyle name="Hiperlink Visitado" xfId="574" builtinId="9" hidden="1"/>
    <cellStyle name="Hiperlink Visitado" xfId="578" builtinId="9" hidden="1"/>
    <cellStyle name="Hiperlink Visitado" xfId="580" builtinId="9" hidden="1"/>
    <cellStyle name="Hiperlink Visitado" xfId="582" builtinId="9" hidden="1"/>
    <cellStyle name="Hiperlink Visitado" xfId="586" builtinId="9" hidden="1"/>
    <cellStyle name="Hiperlink Visitado" xfId="588" builtinId="9" hidden="1"/>
    <cellStyle name="Hiperlink Visitado" xfId="590" builtinId="9" hidden="1"/>
    <cellStyle name="Hiperlink Visitado" xfId="594" builtinId="9" hidden="1"/>
    <cellStyle name="Hiperlink Visitado" xfId="596" builtinId="9" hidden="1"/>
    <cellStyle name="Hiperlink Visitado" xfId="598" builtinId="9" hidden="1"/>
    <cellStyle name="Hiperlink Visitado" xfId="602" builtinId="9" hidden="1"/>
    <cellStyle name="Hiperlink Visitado" xfId="604" builtinId="9" hidden="1"/>
    <cellStyle name="Hiperlink Visitado" xfId="606" builtinId="9" hidden="1"/>
    <cellStyle name="Hiperlink Visitado" xfId="610" builtinId="9" hidden="1"/>
    <cellStyle name="Hiperlink Visitado" xfId="612" builtinId="9" hidden="1"/>
    <cellStyle name="Hiperlink Visitado" xfId="614" builtinId="9" hidden="1"/>
    <cellStyle name="Hiperlink Visitado" xfId="618" builtinId="9" hidden="1"/>
    <cellStyle name="Hiperlink Visitado" xfId="620" builtinId="9" hidden="1"/>
    <cellStyle name="Hiperlink Visitado" xfId="622" builtinId="9" hidden="1"/>
    <cellStyle name="Hiperlink Visitado" xfId="626" builtinId="9" hidden="1"/>
    <cellStyle name="Hiperlink Visitado" xfId="628" builtinId="9" hidden="1"/>
    <cellStyle name="Hiperlink Visitado" xfId="630" builtinId="9" hidden="1"/>
    <cellStyle name="Hiperlink Visitado" xfId="624" builtinId="9" hidden="1"/>
    <cellStyle name="Hiperlink Visitado" xfId="616" builtinId="9" hidden="1"/>
    <cellStyle name="Hiperlink Visitado" xfId="608" builtinId="9" hidden="1"/>
    <cellStyle name="Hiperlink Visitado" xfId="600" builtinId="9" hidden="1"/>
    <cellStyle name="Hiperlink Visitado" xfId="592" builtinId="9" hidden="1"/>
    <cellStyle name="Hiperlink Visitado" xfId="584" builtinId="9" hidden="1"/>
    <cellStyle name="Hiperlink Visitado" xfId="576" builtinId="9" hidden="1"/>
    <cellStyle name="Hiperlink Visitado" xfId="568" builtinId="9" hidden="1"/>
    <cellStyle name="Hiperlink Visitado" xfId="560" builtinId="9" hidden="1"/>
    <cellStyle name="Hiperlink Visitado" xfId="552" builtinId="9" hidden="1"/>
    <cellStyle name="Hiperlink Visitado" xfId="544" builtinId="9" hidden="1"/>
    <cellStyle name="Hiperlink Visitado" xfId="536" builtinId="9" hidden="1"/>
    <cellStyle name="Hiperlink Visitado" xfId="528" builtinId="9" hidden="1"/>
    <cellStyle name="Hiperlink Visitado" xfId="520" builtinId="9" hidden="1"/>
    <cellStyle name="Hiperlink Visitado" xfId="512" builtinId="9" hidden="1"/>
    <cellStyle name="Hiperlink Visitado" xfId="504" builtinId="9" hidden="1"/>
    <cellStyle name="Hiperlink Visitado" xfId="496" builtinId="9" hidden="1"/>
    <cellStyle name="Hiperlink Visitado" xfId="488" builtinId="9" hidden="1"/>
    <cellStyle name="Hiperlink Visitado" xfId="480" builtinId="9" hidden="1"/>
    <cellStyle name="Hiperlink Visitado" xfId="472" builtinId="9" hidden="1"/>
    <cellStyle name="Hiperlink Visitado" xfId="464" builtinId="9" hidden="1"/>
    <cellStyle name="Hiperlink Visitado" xfId="456" builtinId="9" hidden="1"/>
    <cellStyle name="Hiperlink Visitado" xfId="448" builtinId="9" hidden="1"/>
    <cellStyle name="Hiperlink Visitado" xfId="440" builtinId="9" hidden="1"/>
    <cellStyle name="Hiperlink Visitado" xfId="432" builtinId="9" hidden="1"/>
    <cellStyle name="Hiperlink Visitado" xfId="424" builtinId="9" hidden="1"/>
    <cellStyle name="Hiperlink Visitado" xfId="416" builtinId="9" hidden="1"/>
    <cellStyle name="Hiperlink Visitado" xfId="408" builtinId="9" hidden="1"/>
    <cellStyle name="Hiperlink Visitado" xfId="400" builtinId="9" hidden="1"/>
    <cellStyle name="Hiperlink Visitado" xfId="392" builtinId="9" hidden="1"/>
    <cellStyle name="Hiperlink Visitado" xfId="384" builtinId="9" hidden="1"/>
    <cellStyle name="Hiperlink Visitado" xfId="376" builtinId="9" hidden="1"/>
    <cellStyle name="Hiperlink Visitado" xfId="368" builtinId="9" hidden="1"/>
    <cellStyle name="Hiperlink Visitado" xfId="360" builtinId="9" hidden="1"/>
    <cellStyle name="Hiperlink Visitado" xfId="352" builtinId="9" hidden="1"/>
    <cellStyle name="Hiperlink Visitado" xfId="344" builtinId="9" hidden="1"/>
    <cellStyle name="Hiperlink Visitado" xfId="336" builtinId="9" hidden="1"/>
    <cellStyle name="Hiperlink Visitado" xfId="328" builtinId="9" hidden="1"/>
    <cellStyle name="Hiperlink Visitado" xfId="320" builtinId="9" hidden="1"/>
    <cellStyle name="Hiperlink Visitado" xfId="312" builtinId="9" hidden="1"/>
    <cellStyle name="Hiperlink Visitado" xfId="304" builtinId="9" hidden="1"/>
    <cellStyle name="Hiperlink Visitado" xfId="296" builtinId="9" hidden="1"/>
    <cellStyle name="Hiperlink Visitado" xfId="288" builtinId="9" hidden="1"/>
    <cellStyle name="Hiperlink Visitado" xfId="280" builtinId="9" hidden="1"/>
    <cellStyle name="Hiperlink Visitado" xfId="272" builtinId="9" hidden="1"/>
    <cellStyle name="Hiperlink Visitado" xfId="264" builtinId="9" hidden="1"/>
    <cellStyle name="Hiperlink Visitado" xfId="256" builtinId="9" hidden="1"/>
    <cellStyle name="Hiperlink Visitado" xfId="248" builtinId="9" hidden="1"/>
    <cellStyle name="Hiperlink Visitado" xfId="240" builtinId="9" hidden="1"/>
    <cellStyle name="Hiperlink Visitado" xfId="232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24" builtinId="9" hidden="1"/>
    <cellStyle name="Hiperlink Visitado" xfId="208" builtinId="9" hidden="1"/>
    <cellStyle name="Hiperlink Visitado" xfId="192" builtinId="9" hidden="1"/>
    <cellStyle name="Hiperlink Visitado" xfId="176" builtinId="9" hidden="1"/>
    <cellStyle name="Hiperlink Visitado" xfId="160" builtinId="9" hidden="1"/>
    <cellStyle name="Hiperlink Visitado" xfId="144" builtinId="9" hidden="1"/>
    <cellStyle name="Hiperlink Visitado" xfId="128" builtinId="9" hidden="1"/>
    <cellStyle name="Hiperlink Visitado" xfId="112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80" builtinId="9" hidden="1"/>
    <cellStyle name="Hiperlink Visitado" xfId="48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6" builtinId="9" hidden="1"/>
    <cellStyle name="Hiperlink Visitado" xfId="4" builtinId="9" hidden="1"/>
    <cellStyle name="Moeda" xfId="2" builtinId="4"/>
    <cellStyle name="Normal" xfId="0" builtinId="0"/>
    <cellStyle name="Porcentagem" xfId="631" builtinId="5"/>
    <cellStyle name="Vírgula" xfId="1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2666700</xdr:colOff>
      <xdr:row>4</xdr:row>
      <xdr:rowOff>158234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596515" cy="8901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201757</xdr:rowOff>
    </xdr:from>
    <xdr:to>
      <xdr:col>0</xdr:col>
      <xdr:colOff>2596515</xdr:colOff>
      <xdr:row>4</xdr:row>
      <xdr:rowOff>272473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8457"/>
          <a:ext cx="2596515" cy="8708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114300</xdr:rowOff>
    </xdr:from>
    <xdr:to>
      <xdr:col>2</xdr:col>
      <xdr:colOff>2200275</xdr:colOff>
      <xdr:row>6</xdr:row>
      <xdr:rowOff>83820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297180"/>
          <a:ext cx="2596515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198665</xdr:colOff>
      <xdr:row>0</xdr:row>
      <xdr:rowOff>166914</xdr:rowOff>
    </xdr:from>
    <xdr:to>
      <xdr:col>2</xdr:col>
      <xdr:colOff>2287362</xdr:colOff>
      <xdr:row>2</xdr:row>
      <xdr:rowOff>411389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640" y="166914"/>
          <a:ext cx="2574472" cy="7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2:AF33"/>
  <sheetViews>
    <sheetView zoomScale="95" zoomScaleNormal="95" zoomScalePageLayoutView="75" workbookViewId="0">
      <selection activeCell="G15" sqref="G15"/>
    </sheetView>
  </sheetViews>
  <sheetFormatPr baseColWidth="10" defaultColWidth="11.5" defaultRowHeight="15" x14ac:dyDescent="0.2"/>
  <cols>
    <col min="1" max="1" width="56.33203125" bestFit="1" customWidth="1"/>
    <col min="2" max="2" width="12.1640625" customWidth="1"/>
    <col min="3" max="3" width="7.33203125" customWidth="1"/>
    <col min="4" max="4" width="13.6640625" customWidth="1"/>
    <col min="5" max="5" width="11.6640625" hidden="1" customWidth="1"/>
    <col min="6" max="6" width="15.6640625" bestFit="1" customWidth="1"/>
    <col min="7" max="7" width="14" bestFit="1" customWidth="1"/>
    <col min="8" max="8" width="15.6640625" bestFit="1" customWidth="1"/>
    <col min="9" max="10" width="14" bestFit="1" customWidth="1"/>
    <col min="11" max="11" width="12.83203125" bestFit="1" customWidth="1"/>
    <col min="12" max="14" width="14" bestFit="1" customWidth="1"/>
    <col min="15" max="15" width="12.83203125" bestFit="1" customWidth="1"/>
    <col min="16" max="17" width="14" bestFit="1" customWidth="1"/>
    <col min="18" max="18" width="12.83203125" bestFit="1" customWidth="1"/>
    <col min="19" max="19" width="57.33203125" bestFit="1" customWidth="1"/>
    <col min="20" max="20" width="10" bestFit="1" customWidth="1"/>
    <col min="21" max="21" width="12.83203125" bestFit="1" customWidth="1"/>
    <col min="22" max="22" width="15.33203125" bestFit="1" customWidth="1"/>
    <col min="23" max="23" width="5.83203125" customWidth="1"/>
    <col min="24" max="24" width="10" bestFit="1" customWidth="1"/>
    <col min="25" max="25" width="12.83203125" bestFit="1" customWidth="1"/>
    <col min="26" max="26" width="5.83203125" bestFit="1" customWidth="1"/>
    <col min="27" max="27" width="10" bestFit="1" customWidth="1"/>
    <col min="28" max="28" width="12.83203125" bestFit="1" customWidth="1"/>
    <col min="29" max="29" width="5.83203125" customWidth="1"/>
    <col min="30" max="30" width="10" bestFit="1" customWidth="1"/>
    <col min="31" max="31" width="12.83203125" bestFit="1" customWidth="1"/>
    <col min="32" max="32" width="38.6640625" bestFit="1" customWidth="1"/>
  </cols>
  <sheetData>
    <row r="2" spans="1:32" ht="21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</row>
    <row r="3" spans="1:32" ht="21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</row>
    <row r="5" spans="1:32" ht="19" x14ac:dyDescent="0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</row>
    <row r="6" spans="1:32" ht="19" x14ac:dyDescent="0.25">
      <c r="A6" s="18" t="s">
        <v>32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7" spans="1:32" ht="19" x14ac:dyDescent="0.25">
      <c r="A7" t="s">
        <v>33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1:32" ht="19" x14ac:dyDescent="0.25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</row>
    <row r="10" spans="1:32" ht="14" customHeight="1" x14ac:dyDescent="0.2">
      <c r="A10" s="152" t="s">
        <v>34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</row>
    <row r="11" spans="1:32" ht="28" customHeight="1" x14ac:dyDescent="0.2">
      <c r="A11" s="158" t="s">
        <v>35</v>
      </c>
      <c r="B11" s="158" t="s">
        <v>36</v>
      </c>
      <c r="C11" s="158" t="s">
        <v>37</v>
      </c>
      <c r="D11" s="158" t="s">
        <v>38</v>
      </c>
      <c r="E11" s="158" t="s">
        <v>39</v>
      </c>
      <c r="F11" s="158" t="s">
        <v>40</v>
      </c>
      <c r="G11" s="160"/>
      <c r="H11" s="161"/>
      <c r="I11" s="161"/>
      <c r="J11" s="161"/>
      <c r="K11" s="161"/>
      <c r="L11" s="161"/>
      <c r="M11" s="161"/>
      <c r="N11" s="161"/>
      <c r="O11" s="161"/>
      <c r="P11" s="161"/>
      <c r="Q11" s="162"/>
      <c r="R11" s="95"/>
      <c r="S11" s="159" t="s">
        <v>41</v>
      </c>
      <c r="T11" s="159" t="s">
        <v>42</v>
      </c>
      <c r="U11" s="159"/>
      <c r="V11" s="95" t="s">
        <v>43</v>
      </c>
      <c r="W11" s="160" t="s">
        <v>44</v>
      </c>
      <c r="X11" s="161"/>
      <c r="Y11" s="162"/>
      <c r="Z11" s="158" t="s">
        <v>45</v>
      </c>
      <c r="AA11" s="158"/>
      <c r="AB11" s="158"/>
      <c r="AC11" s="158" t="s">
        <v>46</v>
      </c>
      <c r="AD11" s="158"/>
      <c r="AE11" s="158"/>
      <c r="AF11" s="156" t="s">
        <v>47</v>
      </c>
    </row>
    <row r="12" spans="1:32" ht="28" customHeight="1" x14ac:dyDescent="0.2">
      <c r="A12" s="158"/>
      <c r="B12" s="158"/>
      <c r="C12" s="158"/>
      <c r="D12" s="158"/>
      <c r="E12" s="158"/>
      <c r="F12" s="158"/>
      <c r="G12" s="95" t="s">
        <v>48</v>
      </c>
      <c r="H12" s="95" t="s">
        <v>49</v>
      </c>
      <c r="I12" s="95" t="s">
        <v>50</v>
      </c>
      <c r="J12" s="95" t="s">
        <v>51</v>
      </c>
      <c r="K12" s="95" t="s">
        <v>52</v>
      </c>
      <c r="L12" s="95" t="s">
        <v>53</v>
      </c>
      <c r="M12" s="95" t="s">
        <v>54</v>
      </c>
      <c r="N12" s="95" t="s">
        <v>55</v>
      </c>
      <c r="O12" s="95" t="s">
        <v>56</v>
      </c>
      <c r="P12" s="95" t="s">
        <v>57</v>
      </c>
      <c r="Q12" s="95" t="s">
        <v>58</v>
      </c>
      <c r="R12" s="95" t="s">
        <v>59</v>
      </c>
      <c r="S12" s="159"/>
      <c r="T12" s="95" t="s">
        <v>60</v>
      </c>
      <c r="U12" s="95" t="s">
        <v>61</v>
      </c>
      <c r="V12" s="95" t="s">
        <v>61</v>
      </c>
      <c r="W12" s="95" t="s">
        <v>62</v>
      </c>
      <c r="X12" s="95" t="s">
        <v>63</v>
      </c>
      <c r="Y12" s="95" t="s">
        <v>61</v>
      </c>
      <c r="Z12" s="95" t="s">
        <v>62</v>
      </c>
      <c r="AA12" s="95" t="s">
        <v>63</v>
      </c>
      <c r="AB12" s="95" t="s">
        <v>61</v>
      </c>
      <c r="AC12" s="95" t="s">
        <v>62</v>
      </c>
      <c r="AD12" s="95" t="s">
        <v>63</v>
      </c>
      <c r="AE12" s="95" t="s">
        <v>61</v>
      </c>
      <c r="AF12" s="157"/>
    </row>
    <row r="13" spans="1:32" x14ac:dyDescent="0.2">
      <c r="A13" s="8" t="str">
        <f>VPTA!A14</f>
        <v>DIRETOR</v>
      </c>
      <c r="B13" s="9">
        <f>VLOOKUP(A13,VPTA!A:L,2,FALSE)</f>
        <v>44</v>
      </c>
      <c r="C13" s="9">
        <f>VLOOKUP(A13,VPTA!A:L,3,FALSE)</f>
        <v>1</v>
      </c>
      <c r="D13" s="10">
        <f>VLOOKUP(A13,VPTA!A:L,4,FALSE)</f>
        <v>5262.51</v>
      </c>
      <c r="E13" s="10"/>
      <c r="F13" s="11">
        <f t="shared" ref="F13:F19" si="0">SUM(D13:E13)*C13</f>
        <v>5262.51</v>
      </c>
      <c r="G13" s="11">
        <f t="shared" ref="G13:G20" si="1">F13*8%</f>
        <v>421.00080000000003</v>
      </c>
      <c r="H13" s="11">
        <f t="shared" ref="H13:H19" si="2">(F13*5.8%)+(F13*20%)</f>
        <v>1357.7275800000002</v>
      </c>
      <c r="I13" s="11">
        <f t="shared" ref="I13:I19" si="3">F13/12</f>
        <v>438.54250000000002</v>
      </c>
      <c r="J13" s="11">
        <f t="shared" ref="J13:J20" si="4">I13*27.8%</f>
        <v>121.91481500000002</v>
      </c>
      <c r="K13" s="11">
        <f t="shared" ref="K13:K19" si="5">I13*8%</f>
        <v>35.083400000000005</v>
      </c>
      <c r="L13" s="11">
        <f t="shared" ref="L13:L19" si="6">F13/12</f>
        <v>438.54250000000002</v>
      </c>
      <c r="M13" s="11">
        <f>L13/3</f>
        <v>146.18083333333334</v>
      </c>
      <c r="N13" s="11">
        <f t="shared" ref="N13:N19" si="7">(L13+M13)*27.8%</f>
        <v>162.5530866666667</v>
      </c>
      <c r="O13" s="11">
        <f t="shared" ref="O13:O19" si="8">(L13+M13)*8%</f>
        <v>46.777866666666668</v>
      </c>
      <c r="P13" s="11">
        <f>F13/12</f>
        <v>438.54250000000002</v>
      </c>
      <c r="Q13" s="11">
        <f>((G13+K13+O13)*50%)</f>
        <v>251.43103333333335</v>
      </c>
      <c r="R13" s="11">
        <f t="shared" ref="R13:R19" si="9">(F13+I13+L13+M13+P13)*1%</f>
        <v>67.243183333333334</v>
      </c>
      <c r="S13" s="11">
        <f t="shared" ref="S13:S20" si="10">SUM(I13:R13)</f>
        <v>2146.8117183333338</v>
      </c>
      <c r="T13" s="10">
        <v>132</v>
      </c>
      <c r="U13" s="11">
        <f t="shared" ref="U13:U20" si="11">T13*C13</f>
        <v>132</v>
      </c>
      <c r="V13" s="11">
        <f t="shared" ref="V13:V20" si="12">SUM(U13+S13+H13+G13+F13)</f>
        <v>9320.0500983333332</v>
      </c>
      <c r="W13" s="14">
        <f t="shared" ref="W13:W20" si="13">C13</f>
        <v>1</v>
      </c>
      <c r="X13" s="11">
        <v>504</v>
      </c>
      <c r="Y13" s="11">
        <f t="shared" ref="Y13:Y20" si="14">X13*W13</f>
        <v>504</v>
      </c>
      <c r="Z13" s="9">
        <f>C13</f>
        <v>1</v>
      </c>
      <c r="AA13" s="15">
        <v>132</v>
      </c>
      <c r="AB13" s="10">
        <f t="shared" ref="AB13:AB20" si="15">AA13*Z13</f>
        <v>132</v>
      </c>
      <c r="AC13" s="9">
        <f t="shared" ref="AC13:AC19" si="16">C13</f>
        <v>1</v>
      </c>
      <c r="AD13" s="15">
        <v>313</v>
      </c>
      <c r="AE13" s="10">
        <f t="shared" ref="AE13:AE20" si="17">AD13*AC13</f>
        <v>313</v>
      </c>
      <c r="AF13" s="11">
        <f t="shared" ref="AF13:AF20" si="18">V13+AE13+Y13</f>
        <v>10137.050098333333</v>
      </c>
    </row>
    <row r="14" spans="1:32" x14ac:dyDescent="0.2">
      <c r="A14" s="8" t="str">
        <f>VPTA!A15</f>
        <v>COORDENADOR PEDAGÓGICO</v>
      </c>
      <c r="B14" s="9">
        <f>VLOOKUP(A14,VPTA!A:L,2,FALSE)</f>
        <v>44</v>
      </c>
      <c r="C14" s="9">
        <f>VLOOKUP(A14,VPTA!A:L,3,FALSE)</f>
        <v>1</v>
      </c>
      <c r="D14" s="10">
        <f>VLOOKUP(A14,VPTA!A:L,4,FALSE)</f>
        <v>3837.25</v>
      </c>
      <c r="E14" s="10"/>
      <c r="F14" s="11">
        <f>SUM(D14:E14)*C14</f>
        <v>3837.25</v>
      </c>
      <c r="G14" s="11">
        <f t="shared" si="1"/>
        <v>306.98</v>
      </c>
      <c r="H14" s="11">
        <f>(F14*5.8%)+(F14*20%)</f>
        <v>990.01050000000009</v>
      </c>
      <c r="I14" s="11">
        <f>F14/12</f>
        <v>319.77083333333331</v>
      </c>
      <c r="J14" s="11">
        <f t="shared" si="4"/>
        <v>88.89629166666667</v>
      </c>
      <c r="K14" s="11">
        <f>I14*8%</f>
        <v>25.581666666666667</v>
      </c>
      <c r="L14" s="11">
        <f>F14/12</f>
        <v>319.77083333333331</v>
      </c>
      <c r="M14" s="11">
        <f>L14/3</f>
        <v>106.59027777777777</v>
      </c>
      <c r="N14" s="11">
        <f>(L14+M14)*27.8%</f>
        <v>118.5283888888889</v>
      </c>
      <c r="O14" s="11">
        <f>(L14+M14)*8%</f>
        <v>34.108888888888885</v>
      </c>
      <c r="P14" s="11">
        <f>F14/12</f>
        <v>319.77083333333331</v>
      </c>
      <c r="Q14" s="11">
        <f>((G14+K14+O14)*50%)</f>
        <v>183.33527777777778</v>
      </c>
      <c r="R14" s="11">
        <f>(F14+I14+L14+M14+P14)*1%</f>
        <v>49.031527777777768</v>
      </c>
      <c r="S14" s="11">
        <f t="shared" si="10"/>
        <v>1565.3848194444442</v>
      </c>
      <c r="T14" s="10">
        <v>132</v>
      </c>
      <c r="U14" s="11">
        <f t="shared" si="11"/>
        <v>132</v>
      </c>
      <c r="V14" s="11">
        <f t="shared" si="12"/>
        <v>6831.6253194444444</v>
      </c>
      <c r="W14" s="14">
        <f t="shared" si="13"/>
        <v>1</v>
      </c>
      <c r="X14" s="11">
        <v>504</v>
      </c>
      <c r="Y14" s="11">
        <f t="shared" si="14"/>
        <v>504</v>
      </c>
      <c r="Z14" s="9">
        <f>C14</f>
        <v>1</v>
      </c>
      <c r="AA14" s="15">
        <v>132</v>
      </c>
      <c r="AB14" s="10">
        <f>AA14*Z14</f>
        <v>132</v>
      </c>
      <c r="AC14" s="9">
        <f t="shared" si="16"/>
        <v>1</v>
      </c>
      <c r="AD14" s="15">
        <v>313</v>
      </c>
      <c r="AE14" s="10">
        <f t="shared" si="17"/>
        <v>313</v>
      </c>
      <c r="AF14" s="11">
        <f>V14+AE14+Y14</f>
        <v>7648.6253194444444</v>
      </c>
    </row>
    <row r="15" spans="1:32" x14ac:dyDescent="0.2">
      <c r="A15" s="8" t="str">
        <f>VPTA!A16</f>
        <v>PROFESSOR DE EDUCAÇÃO INFANTIL</v>
      </c>
      <c r="B15" s="9">
        <f>VLOOKUP(A15,VPTA!A:L,2,FALSE)</f>
        <v>44</v>
      </c>
      <c r="C15" s="9">
        <f>VLOOKUP(A15,VPTA!A:L,3,FALSE)</f>
        <v>47</v>
      </c>
      <c r="D15" s="10">
        <f>VLOOKUP(A15,VPTA!A:L,4,FALSE)</f>
        <v>2364</v>
      </c>
      <c r="E15" s="10"/>
      <c r="F15" s="11">
        <f>SUM(D15:E15)*C15</f>
        <v>111108</v>
      </c>
      <c r="G15" s="11">
        <f t="shared" si="1"/>
        <v>8888.64</v>
      </c>
      <c r="H15" s="11">
        <f>(F15*5.8%)+(F15*20%)</f>
        <v>28665.864000000001</v>
      </c>
      <c r="I15" s="11">
        <f>F15/12</f>
        <v>9259</v>
      </c>
      <c r="J15" s="11">
        <f t="shared" si="4"/>
        <v>2574.0020000000004</v>
      </c>
      <c r="K15" s="11">
        <f>I15*8%</f>
        <v>740.72</v>
      </c>
      <c r="L15" s="11">
        <f>F15/12</f>
        <v>9259</v>
      </c>
      <c r="M15" s="11">
        <f t="shared" ref="M15:M20" si="19">L15/3</f>
        <v>3086.3333333333335</v>
      </c>
      <c r="N15" s="11">
        <f>(L15+M15)*27.8%</f>
        <v>3432.0026666666672</v>
      </c>
      <c r="O15" s="11">
        <f>(L15+M15)*8%</f>
        <v>987.62666666666678</v>
      </c>
      <c r="P15" s="11">
        <f t="shared" ref="P15:P20" si="20">F15/12</f>
        <v>9259</v>
      </c>
      <c r="Q15" s="11">
        <f t="shared" ref="Q15:Q20" si="21">((G15+K15+O15)*50%)</f>
        <v>5308.4933333333329</v>
      </c>
      <c r="R15" s="11">
        <f>(F15+I15+L15+M15+P15)*1%</f>
        <v>1419.7133333333334</v>
      </c>
      <c r="S15" s="11">
        <f t="shared" si="10"/>
        <v>45325.891333333333</v>
      </c>
      <c r="T15" s="10">
        <v>132</v>
      </c>
      <c r="U15" s="11">
        <f t="shared" si="11"/>
        <v>6204</v>
      </c>
      <c r="V15" s="11">
        <f t="shared" si="12"/>
        <v>200192.39533333335</v>
      </c>
      <c r="W15" s="14">
        <f t="shared" si="13"/>
        <v>47</v>
      </c>
      <c r="X15" s="11">
        <v>504</v>
      </c>
      <c r="Y15" s="11">
        <f t="shared" si="14"/>
        <v>23688</v>
      </c>
      <c r="Z15" s="9">
        <f t="shared" ref="Z15:Z20" si="22">C15</f>
        <v>47</v>
      </c>
      <c r="AA15" s="15">
        <v>132</v>
      </c>
      <c r="AB15" s="10">
        <f t="shared" si="15"/>
        <v>6204</v>
      </c>
      <c r="AC15" s="9">
        <f t="shared" si="16"/>
        <v>47</v>
      </c>
      <c r="AD15" s="15">
        <v>313</v>
      </c>
      <c r="AE15" s="10">
        <f t="shared" si="17"/>
        <v>14711</v>
      </c>
      <c r="AF15" s="11">
        <f t="shared" si="18"/>
        <v>238591.39533333335</v>
      </c>
    </row>
    <row r="16" spans="1:32" x14ac:dyDescent="0.2">
      <c r="A16" s="8" t="str">
        <f>VPTA!A17</f>
        <v>PROFESSOR DE EDUCAÇÃO VOLANTE</v>
      </c>
      <c r="B16" s="9">
        <f>VLOOKUP(A16,VPTA!A:L,2,FALSE)</f>
        <v>44</v>
      </c>
      <c r="C16" s="9">
        <f>VLOOKUP(A16,VPTA!A:L,3,FALSE)</f>
        <v>7</v>
      </c>
      <c r="D16" s="10">
        <f>VLOOKUP(A16,VPTA!A:L,4,FALSE)</f>
        <v>2364</v>
      </c>
      <c r="E16" s="7"/>
      <c r="F16" s="11">
        <f t="shared" si="0"/>
        <v>16548</v>
      </c>
      <c r="G16" s="11">
        <f t="shared" si="1"/>
        <v>1323.84</v>
      </c>
      <c r="H16" s="11">
        <f t="shared" si="2"/>
        <v>4269.384</v>
      </c>
      <c r="I16" s="11">
        <f t="shared" si="3"/>
        <v>1379</v>
      </c>
      <c r="J16" s="11">
        <f t="shared" si="4"/>
        <v>383.36200000000002</v>
      </c>
      <c r="K16" s="11">
        <f t="shared" si="5"/>
        <v>110.32000000000001</v>
      </c>
      <c r="L16" s="11">
        <f t="shared" si="6"/>
        <v>1379</v>
      </c>
      <c r="M16" s="11">
        <f t="shared" si="19"/>
        <v>459.66666666666669</v>
      </c>
      <c r="N16" s="11">
        <f t="shared" si="7"/>
        <v>511.1493333333334</v>
      </c>
      <c r="O16" s="11">
        <f t="shared" si="8"/>
        <v>147.09333333333333</v>
      </c>
      <c r="P16" s="11">
        <f t="shared" si="20"/>
        <v>1379</v>
      </c>
      <c r="Q16" s="11">
        <f t="shared" si="21"/>
        <v>790.62666666666655</v>
      </c>
      <c r="R16" s="11">
        <f t="shared" si="9"/>
        <v>211.44666666666669</v>
      </c>
      <c r="S16" s="11">
        <f t="shared" si="10"/>
        <v>6750.6646666666657</v>
      </c>
      <c r="T16" s="10">
        <v>132</v>
      </c>
      <c r="U16" s="11">
        <f t="shared" si="11"/>
        <v>924</v>
      </c>
      <c r="V16" s="11">
        <f t="shared" si="12"/>
        <v>29815.888666666666</v>
      </c>
      <c r="W16" s="14">
        <f t="shared" si="13"/>
        <v>7</v>
      </c>
      <c r="X16" s="11">
        <v>504</v>
      </c>
      <c r="Y16" s="11">
        <f t="shared" si="14"/>
        <v>3528</v>
      </c>
      <c r="Z16" s="9">
        <f t="shared" si="22"/>
        <v>7</v>
      </c>
      <c r="AA16" s="15">
        <v>132</v>
      </c>
      <c r="AB16" s="10">
        <f t="shared" si="15"/>
        <v>924</v>
      </c>
      <c r="AC16" s="9">
        <f t="shared" si="16"/>
        <v>7</v>
      </c>
      <c r="AD16" s="15">
        <v>313</v>
      </c>
      <c r="AE16" s="10">
        <f t="shared" si="17"/>
        <v>2191</v>
      </c>
      <c r="AF16" s="11">
        <f t="shared" si="18"/>
        <v>35534.888666666666</v>
      </c>
    </row>
    <row r="17" spans="1:32" x14ac:dyDescent="0.2">
      <c r="A17" s="8" t="str">
        <f>VPTA!A24</f>
        <v>ASSISTENTE ADMINISTRATIVO</v>
      </c>
      <c r="B17" s="9">
        <f>VLOOKUP(A17,VPTA!A:L,2,FALSE)</f>
        <v>44</v>
      </c>
      <c r="C17" s="9">
        <f>VLOOKUP(A17,VPTA!A:L,3,FALSE)</f>
        <v>1</v>
      </c>
      <c r="D17" s="10">
        <f>VLOOKUP(A17,VPTA!A:L,4,FALSE)</f>
        <v>2192.712</v>
      </c>
      <c r="E17" s="10"/>
      <c r="F17" s="11">
        <f t="shared" si="0"/>
        <v>2192.712</v>
      </c>
      <c r="G17" s="11">
        <f t="shared" si="1"/>
        <v>175.41695999999999</v>
      </c>
      <c r="H17" s="11">
        <f t="shared" si="2"/>
        <v>565.719696</v>
      </c>
      <c r="I17" s="11">
        <f t="shared" si="3"/>
        <v>182.726</v>
      </c>
      <c r="J17" s="11">
        <f t="shared" si="4"/>
        <v>50.797828000000003</v>
      </c>
      <c r="K17" s="11">
        <f t="shared" si="5"/>
        <v>14.618080000000001</v>
      </c>
      <c r="L17" s="11">
        <f t="shared" si="6"/>
        <v>182.726</v>
      </c>
      <c r="M17" s="11">
        <f t="shared" si="19"/>
        <v>60.908666666666669</v>
      </c>
      <c r="N17" s="11">
        <f t="shared" si="7"/>
        <v>67.730437333333342</v>
      </c>
      <c r="O17" s="11">
        <f t="shared" si="8"/>
        <v>19.490773333333333</v>
      </c>
      <c r="P17" s="11">
        <f t="shared" si="20"/>
        <v>182.726</v>
      </c>
      <c r="Q17" s="11">
        <f t="shared" si="21"/>
        <v>104.76290666666665</v>
      </c>
      <c r="R17" s="11">
        <f t="shared" si="9"/>
        <v>28.017986666666673</v>
      </c>
      <c r="S17" s="11">
        <f t="shared" si="10"/>
        <v>894.50467866666668</v>
      </c>
      <c r="T17" s="10">
        <v>132</v>
      </c>
      <c r="U17" s="11">
        <f t="shared" si="11"/>
        <v>132</v>
      </c>
      <c r="V17" s="11">
        <f t="shared" si="12"/>
        <v>3960.3533346666668</v>
      </c>
      <c r="W17" s="14">
        <f t="shared" si="13"/>
        <v>1</v>
      </c>
      <c r="X17" s="11">
        <v>504</v>
      </c>
      <c r="Y17" s="11">
        <f t="shared" si="14"/>
        <v>504</v>
      </c>
      <c r="Z17" s="9">
        <f t="shared" si="22"/>
        <v>1</v>
      </c>
      <c r="AA17" s="15">
        <v>132</v>
      </c>
      <c r="AB17" s="10">
        <f t="shared" si="15"/>
        <v>132</v>
      </c>
      <c r="AC17" s="9">
        <f t="shared" si="16"/>
        <v>1</v>
      </c>
      <c r="AD17" s="15">
        <v>313</v>
      </c>
      <c r="AE17" s="10">
        <f t="shared" si="17"/>
        <v>313</v>
      </c>
      <c r="AF17" s="11">
        <f t="shared" si="18"/>
        <v>4777.3533346666663</v>
      </c>
    </row>
    <row r="18" spans="1:32" x14ac:dyDescent="0.2">
      <c r="A18" s="8" t="str">
        <f>VPTA!A22</f>
        <v>COZINHEIRA</v>
      </c>
      <c r="B18" s="9">
        <f>VLOOKUP(A18,VPTA!A:L,2,FALSE)</f>
        <v>44</v>
      </c>
      <c r="C18" s="9">
        <f>VLOOKUP(A18,VPTA!A:L,3,FALSE)</f>
        <v>1</v>
      </c>
      <c r="D18" s="10">
        <f>VLOOKUP(A18,VPTA!A:L,4,FALSE)</f>
        <v>1863.8052</v>
      </c>
      <c r="E18" s="10"/>
      <c r="F18" s="11">
        <f>SUM(D18:E18)*C18</f>
        <v>1863.8052</v>
      </c>
      <c r="G18" s="11">
        <f t="shared" si="1"/>
        <v>149.10441600000001</v>
      </c>
      <c r="H18" s="11">
        <f>(F18*5.8%)+(F18*20%)</f>
        <v>480.86174160000002</v>
      </c>
      <c r="I18" s="11">
        <f>F18/12</f>
        <v>155.31710000000001</v>
      </c>
      <c r="J18" s="11">
        <f t="shared" si="4"/>
        <v>43.178153800000004</v>
      </c>
      <c r="K18" s="11">
        <f>I18*8%</f>
        <v>12.425368000000001</v>
      </c>
      <c r="L18" s="11">
        <f>F18/12</f>
        <v>155.31710000000001</v>
      </c>
      <c r="M18" s="11">
        <f>L18/3</f>
        <v>51.77236666666667</v>
      </c>
      <c r="N18" s="11">
        <f>(L18+M18)*27.8%</f>
        <v>57.570871733333341</v>
      </c>
      <c r="O18" s="11">
        <f>(L18+M18)*8%</f>
        <v>16.567157333333334</v>
      </c>
      <c r="P18" s="11">
        <f>F18/12</f>
        <v>155.31710000000001</v>
      </c>
      <c r="Q18" s="11">
        <f>((G18+K18+O18)*50%)</f>
        <v>89.048470666666674</v>
      </c>
      <c r="R18" s="11">
        <f>(F18+I18+L18+M18+P18)*1%</f>
        <v>23.815288666666671</v>
      </c>
      <c r="S18" s="11">
        <f t="shared" si="10"/>
        <v>760.32897686666684</v>
      </c>
      <c r="T18" s="10">
        <v>132</v>
      </c>
      <c r="U18" s="11">
        <f t="shared" si="11"/>
        <v>132</v>
      </c>
      <c r="V18" s="11">
        <f t="shared" si="12"/>
        <v>3386.1003344666669</v>
      </c>
      <c r="W18" s="14">
        <f t="shared" si="13"/>
        <v>1</v>
      </c>
      <c r="X18" s="11">
        <v>504</v>
      </c>
      <c r="Y18" s="11">
        <f t="shared" si="14"/>
        <v>504</v>
      </c>
      <c r="Z18" s="9">
        <f>C18</f>
        <v>1</v>
      </c>
      <c r="AA18" s="15">
        <v>132</v>
      </c>
      <c r="AB18" s="10">
        <f>AA18*Z18</f>
        <v>132</v>
      </c>
      <c r="AC18" s="9">
        <f t="shared" si="16"/>
        <v>1</v>
      </c>
      <c r="AD18" s="15">
        <v>313</v>
      </c>
      <c r="AE18" s="10">
        <f t="shared" si="17"/>
        <v>313</v>
      </c>
      <c r="AF18" s="11">
        <f>V18+AE18+Y18</f>
        <v>4203.1003344666669</v>
      </c>
    </row>
    <row r="19" spans="1:32" x14ac:dyDescent="0.2">
      <c r="A19" s="8" t="e">
        <f>VPTA!#REF!</f>
        <v>#REF!</v>
      </c>
      <c r="B19" s="9" t="e">
        <f>VLOOKUP(A19,VPTA!A:L,2,FALSE)</f>
        <v>#REF!</v>
      </c>
      <c r="C19" s="9" t="e">
        <f>VLOOKUP(A19,VPTA!A:L,3,FALSE)</f>
        <v>#REF!</v>
      </c>
      <c r="D19" s="10" t="e">
        <f>VLOOKUP(A19,VPTA!A:L,4,FALSE)</f>
        <v>#REF!</v>
      </c>
      <c r="E19" s="10"/>
      <c r="F19" s="11" t="e">
        <f t="shared" si="0"/>
        <v>#REF!</v>
      </c>
      <c r="G19" s="11" t="e">
        <f t="shared" si="1"/>
        <v>#REF!</v>
      </c>
      <c r="H19" s="11" t="e">
        <f t="shared" si="2"/>
        <v>#REF!</v>
      </c>
      <c r="I19" s="11" t="e">
        <f t="shared" si="3"/>
        <v>#REF!</v>
      </c>
      <c r="J19" s="11" t="e">
        <f t="shared" si="4"/>
        <v>#REF!</v>
      </c>
      <c r="K19" s="11" t="e">
        <f t="shared" si="5"/>
        <v>#REF!</v>
      </c>
      <c r="L19" s="11" t="e">
        <f t="shared" si="6"/>
        <v>#REF!</v>
      </c>
      <c r="M19" s="11" t="e">
        <f t="shared" si="19"/>
        <v>#REF!</v>
      </c>
      <c r="N19" s="11" t="e">
        <f t="shared" si="7"/>
        <v>#REF!</v>
      </c>
      <c r="O19" s="11" t="e">
        <f t="shared" si="8"/>
        <v>#REF!</v>
      </c>
      <c r="P19" s="11" t="e">
        <f t="shared" si="20"/>
        <v>#REF!</v>
      </c>
      <c r="Q19" s="11" t="e">
        <f t="shared" si="21"/>
        <v>#REF!</v>
      </c>
      <c r="R19" s="11" t="e">
        <f t="shared" si="9"/>
        <v>#REF!</v>
      </c>
      <c r="S19" s="11" t="e">
        <f t="shared" si="10"/>
        <v>#REF!</v>
      </c>
      <c r="T19" s="10">
        <v>132</v>
      </c>
      <c r="U19" s="11" t="e">
        <f t="shared" si="11"/>
        <v>#REF!</v>
      </c>
      <c r="V19" s="11" t="e">
        <f t="shared" si="12"/>
        <v>#REF!</v>
      </c>
      <c r="W19" s="14" t="e">
        <f t="shared" si="13"/>
        <v>#REF!</v>
      </c>
      <c r="X19" s="11">
        <v>504</v>
      </c>
      <c r="Y19" s="11" t="e">
        <f t="shared" si="14"/>
        <v>#REF!</v>
      </c>
      <c r="Z19" s="9" t="e">
        <f t="shared" si="22"/>
        <v>#REF!</v>
      </c>
      <c r="AA19" s="15">
        <v>132</v>
      </c>
      <c r="AB19" s="10" t="e">
        <f t="shared" si="15"/>
        <v>#REF!</v>
      </c>
      <c r="AC19" s="9" t="e">
        <f t="shared" si="16"/>
        <v>#REF!</v>
      </c>
      <c r="AD19" s="15">
        <v>313</v>
      </c>
      <c r="AE19" s="10" t="e">
        <f t="shared" si="17"/>
        <v>#REF!</v>
      </c>
      <c r="AF19" s="11" t="e">
        <f t="shared" si="18"/>
        <v>#REF!</v>
      </c>
    </row>
    <row r="20" spans="1:32" x14ac:dyDescent="0.2">
      <c r="A20" s="8" t="e">
        <f>VPTA!#REF!</f>
        <v>#REF!</v>
      </c>
      <c r="B20" s="9" t="e">
        <f>VLOOKUP(A20,VPTA!A:L,2,FALSE)</f>
        <v>#REF!</v>
      </c>
      <c r="C20" s="9" t="e">
        <f>VLOOKUP(A20,VPTA!A:L,3,FALSE)</f>
        <v>#REF!</v>
      </c>
      <c r="D20" s="10" t="e">
        <f>VLOOKUP(A20,VPTA!A:L,4,FALSE)</f>
        <v>#REF!</v>
      </c>
      <c r="E20" s="10"/>
      <c r="F20" s="11" t="e">
        <f>SUM(D20:E20)*C20</f>
        <v>#REF!</v>
      </c>
      <c r="G20" s="11" t="e">
        <f t="shared" si="1"/>
        <v>#REF!</v>
      </c>
      <c r="H20" s="11" t="e">
        <f>(F20*5.8%)+(F20*20%)</f>
        <v>#REF!</v>
      </c>
      <c r="I20" s="11" t="e">
        <f>F20/12</f>
        <v>#REF!</v>
      </c>
      <c r="J20" s="11" t="e">
        <f t="shared" si="4"/>
        <v>#REF!</v>
      </c>
      <c r="K20" s="11" t="e">
        <f>I20*8%</f>
        <v>#REF!</v>
      </c>
      <c r="L20" s="11" t="e">
        <f>F20/12</f>
        <v>#REF!</v>
      </c>
      <c r="M20" s="11" t="e">
        <f t="shared" si="19"/>
        <v>#REF!</v>
      </c>
      <c r="N20" s="11" t="e">
        <f>(L20+M20)*27.8%</f>
        <v>#REF!</v>
      </c>
      <c r="O20" s="11" t="e">
        <f>(L20+M20)*8%</f>
        <v>#REF!</v>
      </c>
      <c r="P20" s="11" t="e">
        <f t="shared" si="20"/>
        <v>#REF!</v>
      </c>
      <c r="Q20" s="11" t="e">
        <f t="shared" si="21"/>
        <v>#REF!</v>
      </c>
      <c r="R20" s="11" t="e">
        <f>(F20+I20+L20+M20+P20)*1%</f>
        <v>#REF!</v>
      </c>
      <c r="S20" s="11" t="e">
        <f t="shared" si="10"/>
        <v>#REF!</v>
      </c>
      <c r="T20" s="10">
        <v>132</v>
      </c>
      <c r="U20" s="11" t="e">
        <f t="shared" si="11"/>
        <v>#REF!</v>
      </c>
      <c r="V20" s="11" t="e">
        <f t="shared" si="12"/>
        <v>#REF!</v>
      </c>
      <c r="W20" s="14" t="e">
        <f t="shared" si="13"/>
        <v>#REF!</v>
      </c>
      <c r="X20" s="11">
        <v>504</v>
      </c>
      <c r="Y20" s="11" t="e">
        <f t="shared" si="14"/>
        <v>#REF!</v>
      </c>
      <c r="Z20" s="9" t="e">
        <f t="shared" si="22"/>
        <v>#REF!</v>
      </c>
      <c r="AA20" s="15">
        <v>132</v>
      </c>
      <c r="AB20" s="10" t="e">
        <f t="shared" si="15"/>
        <v>#REF!</v>
      </c>
      <c r="AC20" s="9" t="e">
        <f>C20</f>
        <v>#REF!</v>
      </c>
      <c r="AD20" s="15">
        <v>313</v>
      </c>
      <c r="AE20" s="10" t="e">
        <f t="shared" si="17"/>
        <v>#REF!</v>
      </c>
      <c r="AF20" s="11" t="e">
        <f t="shared" si="18"/>
        <v>#REF!</v>
      </c>
    </row>
    <row r="22" spans="1:32" x14ac:dyDescent="0.2">
      <c r="A22" s="19" t="s">
        <v>64</v>
      </c>
      <c r="B22" s="19"/>
      <c r="C22" s="20" t="e">
        <f t="shared" ref="C22:S22" si="23">SUM(C13:C20)</f>
        <v>#REF!</v>
      </c>
      <c r="D22" s="21" t="e">
        <f t="shared" si="23"/>
        <v>#REF!</v>
      </c>
      <c r="E22" s="21">
        <f t="shared" si="23"/>
        <v>0</v>
      </c>
      <c r="F22" s="21" t="e">
        <f t="shared" si="23"/>
        <v>#REF!</v>
      </c>
      <c r="G22" s="21" t="e">
        <f t="shared" si="23"/>
        <v>#REF!</v>
      </c>
      <c r="H22" s="21" t="e">
        <f t="shared" si="23"/>
        <v>#REF!</v>
      </c>
      <c r="I22" s="21" t="e">
        <f t="shared" si="23"/>
        <v>#REF!</v>
      </c>
      <c r="J22" s="21" t="e">
        <f t="shared" si="23"/>
        <v>#REF!</v>
      </c>
      <c r="K22" s="21" t="e">
        <f t="shared" si="23"/>
        <v>#REF!</v>
      </c>
      <c r="L22" s="21" t="e">
        <f t="shared" si="23"/>
        <v>#REF!</v>
      </c>
      <c r="M22" s="21" t="e">
        <f t="shared" si="23"/>
        <v>#REF!</v>
      </c>
      <c r="N22" s="21" t="e">
        <f t="shared" si="23"/>
        <v>#REF!</v>
      </c>
      <c r="O22" s="21" t="e">
        <f t="shared" si="23"/>
        <v>#REF!</v>
      </c>
      <c r="P22" s="21" t="e">
        <f t="shared" si="23"/>
        <v>#REF!</v>
      </c>
      <c r="Q22" s="21" t="e">
        <f t="shared" si="23"/>
        <v>#REF!</v>
      </c>
      <c r="R22" s="21" t="e">
        <f t="shared" si="23"/>
        <v>#REF!</v>
      </c>
      <c r="S22" s="21" t="e">
        <f t="shared" si="23"/>
        <v>#REF!</v>
      </c>
      <c r="T22" s="19"/>
      <c r="U22" s="21" t="e">
        <f>SUM(U13:U20)</f>
        <v>#REF!</v>
      </c>
      <c r="V22" s="21"/>
      <c r="W22" s="19"/>
      <c r="X22" s="19"/>
      <c r="Y22" s="21" t="e">
        <f>SUM(Y13:Y20)</f>
        <v>#REF!</v>
      </c>
      <c r="Z22" s="21"/>
      <c r="AA22" s="21"/>
      <c r="AB22" s="21" t="e">
        <f>SUM(AB13:AB21)</f>
        <v>#REF!</v>
      </c>
      <c r="AC22" s="19"/>
      <c r="AD22" s="19"/>
      <c r="AE22" s="21" t="e">
        <f>SUM(AE13:AE20)</f>
        <v>#REF!</v>
      </c>
      <c r="AF22" s="21" t="e">
        <f>SUM(AF13:AF20)</f>
        <v>#REF!</v>
      </c>
    </row>
    <row r="23" spans="1:32" hidden="1" x14ac:dyDescent="0.2">
      <c r="E23" t="s">
        <v>65</v>
      </c>
      <c r="F23" t="s">
        <v>66</v>
      </c>
      <c r="G23" t="s">
        <v>67</v>
      </c>
      <c r="H23" t="s">
        <v>67</v>
      </c>
      <c r="I23" t="s">
        <v>65</v>
      </c>
      <c r="J23" t="s">
        <v>67</v>
      </c>
      <c r="K23" t="s">
        <v>67</v>
      </c>
      <c r="L23" t="s">
        <v>65</v>
      </c>
      <c r="M23" t="s">
        <v>65</v>
      </c>
      <c r="N23" t="s">
        <v>67</v>
      </c>
      <c r="O23" t="s">
        <v>67</v>
      </c>
      <c r="P23" t="s">
        <v>65</v>
      </c>
      <c r="Q23" t="s">
        <v>67</v>
      </c>
      <c r="R23" t="s">
        <v>67</v>
      </c>
      <c r="U23" t="s">
        <v>68</v>
      </c>
      <c r="Y23" t="s">
        <v>68</v>
      </c>
      <c r="AE23" t="s">
        <v>68</v>
      </c>
      <c r="AF23" s="5" t="e">
        <f>AE22+U22+S22+H22+G22+F22+Y22</f>
        <v>#REF!</v>
      </c>
    </row>
    <row r="24" spans="1:32" ht="1.5" customHeight="1" x14ac:dyDescent="0.2">
      <c r="E24" s="5"/>
      <c r="AE24" t="s">
        <v>67</v>
      </c>
      <c r="AF24" s="5" t="e">
        <f>R22+Q22+O22+N22+K22+J22+H22+G22</f>
        <v>#REF!</v>
      </c>
    </row>
    <row r="25" spans="1:32" ht="2.25" customHeight="1" x14ac:dyDescent="0.2">
      <c r="E25" s="5"/>
      <c r="AE25" t="s">
        <v>65</v>
      </c>
      <c r="AF25" s="5" t="e">
        <f>P22+M22+L22+I22+AE22</f>
        <v>#REF!</v>
      </c>
    </row>
    <row r="26" spans="1:32" x14ac:dyDescent="0.2">
      <c r="E26" s="5"/>
    </row>
    <row r="27" spans="1:32" x14ac:dyDescent="0.2">
      <c r="E27" s="5"/>
    </row>
    <row r="28" spans="1:32" x14ac:dyDescent="0.2">
      <c r="E28" s="5"/>
    </row>
    <row r="29" spans="1:32" x14ac:dyDescent="0.2">
      <c r="E29" s="5"/>
    </row>
    <row r="30" spans="1:32" x14ac:dyDescent="0.2">
      <c r="E30" s="5"/>
    </row>
    <row r="31" spans="1:32" x14ac:dyDescent="0.2">
      <c r="E31" s="5"/>
    </row>
    <row r="32" spans="1:32" x14ac:dyDescent="0.2">
      <c r="E32" s="5"/>
    </row>
    <row r="33" spans="5:5" x14ac:dyDescent="0.2">
      <c r="E33" s="5"/>
    </row>
  </sheetData>
  <mergeCells count="18">
    <mergeCell ref="AF11:AF12"/>
    <mergeCell ref="AC11:AE11"/>
    <mergeCell ref="A11:A12"/>
    <mergeCell ref="B11:B12"/>
    <mergeCell ref="C11:C12"/>
    <mergeCell ref="D11:D12"/>
    <mergeCell ref="T11:U11"/>
    <mergeCell ref="G11:Q11"/>
    <mergeCell ref="W11:Y11"/>
    <mergeCell ref="S11:S12"/>
    <mergeCell ref="E11:E12"/>
    <mergeCell ref="F11:F12"/>
    <mergeCell ref="Z11:AB11"/>
    <mergeCell ref="A10:AF10"/>
    <mergeCell ref="A2:AF2"/>
    <mergeCell ref="A5:AF5"/>
    <mergeCell ref="A3:AF3"/>
    <mergeCell ref="A4:AF4"/>
  </mergeCells>
  <phoneticPr fontId="4" type="noConversion"/>
  <pageMargins left="0.39370078740157483" right="0.39370078740157483" top="0.39370078740157483" bottom="0.39370078740157483" header="0.39370078740157483" footer="0.39370078740157483"/>
  <pageSetup paperSize="9" scale="60" orientation="landscape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3:N34"/>
  <sheetViews>
    <sheetView tabSelected="1" zoomScale="60" zoomScaleNormal="60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B50" sqref="B50"/>
    </sheetView>
  </sheetViews>
  <sheetFormatPr baseColWidth="10" defaultColWidth="20.5" defaultRowHeight="21" x14ac:dyDescent="0.25"/>
  <cols>
    <col min="1" max="1" width="79.1640625" style="45" bestFit="1" customWidth="1"/>
    <col min="2" max="2" width="8.5" style="45" customWidth="1"/>
    <col min="3" max="3" width="7.1640625" style="45" customWidth="1"/>
    <col min="4" max="4" width="24" style="114" customWidth="1"/>
    <col min="5" max="6" width="19.5" style="45" customWidth="1"/>
    <col min="7" max="7" width="24.5" style="45" customWidth="1"/>
    <col min="8" max="8" width="24.1640625" style="45" customWidth="1"/>
    <col min="9" max="9" width="20.83203125" style="45" customWidth="1"/>
    <col min="10" max="10" width="22.83203125" style="45" customWidth="1"/>
    <col min="11" max="13" width="20.5" style="45"/>
    <col min="14" max="14" width="10" style="45" bestFit="1" customWidth="1"/>
    <col min="15" max="16384" width="20.5" style="45"/>
  </cols>
  <sheetData>
    <row r="3" spans="1:14" x14ac:dyDescent="0.25">
      <c r="H3" s="50"/>
    </row>
    <row r="5" spans="1:14" ht="46.25" customHeight="1" x14ac:dyDescent="0.25">
      <c r="H5" s="143" t="s">
        <v>0</v>
      </c>
      <c r="I5" s="143" t="s">
        <v>1</v>
      </c>
      <c r="J5" s="142" t="s">
        <v>2</v>
      </c>
      <c r="L5" s="144">
        <v>376129.48</v>
      </c>
      <c r="M5" s="145"/>
    </row>
    <row r="6" spans="1:14" ht="21" customHeight="1" x14ac:dyDescent="0.25">
      <c r="H6" s="46">
        <f>H8+H9</f>
        <v>4930309.2</v>
      </c>
      <c r="I6" s="47">
        <f>SUM(I8:I9)</f>
        <v>410859.10000000003</v>
      </c>
      <c r="J6" s="47">
        <f>I6/B12</f>
        <v>753.86990825688076</v>
      </c>
      <c r="L6" s="146">
        <v>341916.5</v>
      </c>
      <c r="M6" s="145"/>
      <c r="N6" s="50"/>
    </row>
    <row r="7" spans="1:14" ht="24" x14ac:dyDescent="0.3">
      <c r="A7" s="92" t="s">
        <v>3</v>
      </c>
      <c r="B7" s="91"/>
      <c r="C7" s="93"/>
      <c r="D7" s="115"/>
      <c r="L7" s="57">
        <f>L5-L6</f>
        <v>34212.979999999981</v>
      </c>
      <c r="M7" s="145"/>
    </row>
    <row r="8" spans="1:14" ht="24" x14ac:dyDescent="0.3">
      <c r="A8" s="90" t="s">
        <v>176</v>
      </c>
      <c r="B8" s="91"/>
      <c r="C8" s="93"/>
      <c r="D8" s="115"/>
      <c r="H8" s="48">
        <f>I8*12</f>
        <v>4224709.2</v>
      </c>
      <c r="I8" s="48">
        <f>J8*B12</f>
        <v>352059.10000000003</v>
      </c>
      <c r="J8" s="48">
        <v>645.98</v>
      </c>
      <c r="K8" s="50"/>
      <c r="L8" s="145"/>
      <c r="M8" s="147">
        <f>M28/70%</f>
        <v>469574.8064361143</v>
      </c>
    </row>
    <row r="9" spans="1:14" ht="24" x14ac:dyDescent="0.3">
      <c r="A9" s="91" t="s">
        <v>173</v>
      </c>
      <c r="B9" s="94">
        <v>240</v>
      </c>
      <c r="C9" s="91"/>
      <c r="D9" s="115"/>
      <c r="E9" s="165" t="s">
        <v>4</v>
      </c>
      <c r="F9" s="166"/>
      <c r="G9" s="167"/>
      <c r="H9" s="50">
        <f>I9*12</f>
        <v>705600</v>
      </c>
      <c r="I9" s="48">
        <f>J9*B9</f>
        <v>58800</v>
      </c>
      <c r="J9" s="50">
        <v>245</v>
      </c>
    </row>
    <row r="10" spans="1:14" ht="24" x14ac:dyDescent="0.3">
      <c r="A10" s="91" t="s">
        <v>174</v>
      </c>
      <c r="B10" s="94">
        <v>180</v>
      </c>
      <c r="C10" s="91"/>
      <c r="D10" s="115"/>
      <c r="L10" s="51"/>
    </row>
    <row r="11" spans="1:14" ht="24" x14ac:dyDescent="0.3">
      <c r="A11" s="91" t="s">
        <v>175</v>
      </c>
      <c r="B11" s="94">
        <v>125</v>
      </c>
      <c r="C11" s="91"/>
      <c r="D11" s="115"/>
      <c r="L11" s="51"/>
    </row>
    <row r="12" spans="1:14" ht="22" thickBot="1" x14ac:dyDescent="0.3">
      <c r="B12" s="94">
        <f>SUM(B9:B11)</f>
        <v>545</v>
      </c>
    </row>
    <row r="13" spans="1:14" ht="22" thickBot="1" x14ac:dyDescent="0.3">
      <c r="A13" s="131" t="s">
        <v>5</v>
      </c>
      <c r="B13" s="132" t="s">
        <v>6</v>
      </c>
      <c r="C13" s="132" t="s">
        <v>7</v>
      </c>
      <c r="D13" s="133" t="s">
        <v>165</v>
      </c>
      <c r="E13" s="134" t="s">
        <v>8</v>
      </c>
      <c r="F13" s="134" t="s">
        <v>171</v>
      </c>
      <c r="G13" s="132" t="s">
        <v>9</v>
      </c>
      <c r="H13" s="132" t="s">
        <v>10</v>
      </c>
      <c r="I13" s="134" t="s">
        <v>11</v>
      </c>
      <c r="J13" s="134" t="s">
        <v>12</v>
      </c>
      <c r="K13" s="132" t="s">
        <v>13</v>
      </c>
      <c r="L13" s="132" t="s">
        <v>14</v>
      </c>
      <c r="M13" s="135" t="s">
        <v>15</v>
      </c>
    </row>
    <row r="14" spans="1:14" x14ac:dyDescent="0.25">
      <c r="A14" s="136" t="s">
        <v>16</v>
      </c>
      <c r="B14" s="137">
        <v>44</v>
      </c>
      <c r="C14" s="137">
        <v>1</v>
      </c>
      <c r="D14" s="138">
        <v>5262.51</v>
      </c>
      <c r="E14" s="139">
        <f>D14*C14</f>
        <v>5262.51</v>
      </c>
      <c r="F14" s="139">
        <f>(-E14*8%)+E14</f>
        <v>4841.5092000000004</v>
      </c>
      <c r="G14" s="140">
        <f>E14*25%</f>
        <v>1315.6275000000001</v>
      </c>
      <c r="H14" s="140">
        <f>E14*21.57%</f>
        <v>1135.123407</v>
      </c>
      <c r="I14" s="140">
        <f>170*C14</f>
        <v>170</v>
      </c>
      <c r="J14" s="140">
        <f>C14*25*22</f>
        <v>550</v>
      </c>
      <c r="K14" s="140">
        <v>242</v>
      </c>
      <c r="L14" s="140">
        <f>14.2*C14</f>
        <v>14.2</v>
      </c>
      <c r="M14" s="141">
        <f>SUM(E14+G14+H14+I14+J14+K14+L14)</f>
        <v>8689.4609070000006</v>
      </c>
      <c r="N14" s="57"/>
    </row>
    <row r="15" spans="1:14" x14ac:dyDescent="0.25">
      <c r="A15" s="52" t="s">
        <v>17</v>
      </c>
      <c r="B15" s="53">
        <v>44</v>
      </c>
      <c r="C15" s="53">
        <v>1</v>
      </c>
      <c r="D15" s="116">
        <v>3837.25</v>
      </c>
      <c r="E15" s="54">
        <f>D15*C15</f>
        <v>3837.25</v>
      </c>
      <c r="F15" s="54">
        <f>(-E15*8%)+E15</f>
        <v>3530.27</v>
      </c>
      <c r="G15" s="55">
        <f>E15*25%</f>
        <v>959.3125</v>
      </c>
      <c r="H15" s="55">
        <f>E15*21.57%</f>
        <v>827.69482500000004</v>
      </c>
      <c r="I15" s="55">
        <f>170*C15</f>
        <v>170</v>
      </c>
      <c r="J15" s="55">
        <f>C15*25*22</f>
        <v>550</v>
      </c>
      <c r="K15" s="55">
        <v>242</v>
      </c>
      <c r="L15" s="55">
        <f>14.2*C15</f>
        <v>14.2</v>
      </c>
      <c r="M15" s="56">
        <f>SUM(E15+G15+H15+I15+J15+K15+L15)</f>
        <v>6600.4573250000003</v>
      </c>
      <c r="N15" s="57"/>
    </row>
    <row r="16" spans="1:14" x14ac:dyDescent="0.25">
      <c r="A16" s="52" t="s">
        <v>18</v>
      </c>
      <c r="B16" s="53">
        <v>44</v>
      </c>
      <c r="C16" s="53">
        <v>47</v>
      </c>
      <c r="D16" s="116">
        <v>2364</v>
      </c>
      <c r="E16" s="54">
        <f t="shared" ref="E16:E26" si="0">D16*C16</f>
        <v>111108</v>
      </c>
      <c r="F16" s="54">
        <f t="shared" ref="F16:F26" si="1">(-E16*8%)+E16</f>
        <v>102219.36</v>
      </c>
      <c r="G16" s="55">
        <f t="shared" ref="G16:G26" si="2">E16*25%</f>
        <v>27777</v>
      </c>
      <c r="H16" s="55">
        <f t="shared" ref="H16:H26" si="3">E16*21.57%</f>
        <v>23965.995600000002</v>
      </c>
      <c r="I16" s="55">
        <f t="shared" ref="I16:I26" si="4">170*C16</f>
        <v>7990</v>
      </c>
      <c r="J16" s="55">
        <f t="shared" ref="J16:J25" si="5">C16*25*22</f>
        <v>25850</v>
      </c>
      <c r="K16" s="55">
        <f>(16*22*C16)-(E16*6%)</f>
        <v>9877.52</v>
      </c>
      <c r="L16" s="55">
        <f t="shared" ref="L16:L26" si="6">14.2*C16</f>
        <v>667.4</v>
      </c>
      <c r="M16" s="56">
        <f t="shared" ref="M16:M26" si="7">SUM(E16+G16+H16+I16+J16+K16+L16)</f>
        <v>207235.91559999998</v>
      </c>
      <c r="N16" s="57"/>
    </row>
    <row r="17" spans="1:14" x14ac:dyDescent="0.25">
      <c r="A17" s="52" t="s">
        <v>19</v>
      </c>
      <c r="B17" s="53">
        <v>44</v>
      </c>
      <c r="C17" s="53">
        <v>7</v>
      </c>
      <c r="D17" s="116">
        <v>2364</v>
      </c>
      <c r="E17" s="54">
        <f t="shared" si="0"/>
        <v>16548</v>
      </c>
      <c r="F17" s="54">
        <f t="shared" si="1"/>
        <v>15224.16</v>
      </c>
      <c r="G17" s="55">
        <f t="shared" si="2"/>
        <v>4137</v>
      </c>
      <c r="H17" s="55">
        <f t="shared" si="3"/>
        <v>3569.4036000000001</v>
      </c>
      <c r="I17" s="55">
        <f t="shared" si="4"/>
        <v>1190</v>
      </c>
      <c r="J17" s="55">
        <f t="shared" si="5"/>
        <v>3850</v>
      </c>
      <c r="K17" s="55">
        <f t="shared" ref="K17:K26" si="8">(16*22*C17)-(E17*6%)</f>
        <v>1471.12</v>
      </c>
      <c r="L17" s="55">
        <f t="shared" si="6"/>
        <v>99.399999999999991</v>
      </c>
      <c r="M17" s="56">
        <f t="shared" si="7"/>
        <v>30864.923600000002</v>
      </c>
      <c r="N17" s="57"/>
    </row>
    <row r="18" spans="1:14" x14ac:dyDescent="0.25">
      <c r="A18" s="52" t="s">
        <v>20</v>
      </c>
      <c r="B18" s="53">
        <v>44</v>
      </c>
      <c r="C18" s="53">
        <v>2</v>
      </c>
      <c r="D18" s="116">
        <v>1525.6</v>
      </c>
      <c r="E18" s="54">
        <f t="shared" si="0"/>
        <v>3051.2</v>
      </c>
      <c r="F18" s="54">
        <f t="shared" si="1"/>
        <v>2807.1039999999998</v>
      </c>
      <c r="G18" s="55">
        <f t="shared" si="2"/>
        <v>762.8</v>
      </c>
      <c r="H18" s="55">
        <f t="shared" si="3"/>
        <v>658.14383999999995</v>
      </c>
      <c r="I18" s="55">
        <f t="shared" si="4"/>
        <v>340</v>
      </c>
      <c r="J18" s="55">
        <f t="shared" si="5"/>
        <v>1100</v>
      </c>
      <c r="K18" s="55">
        <f t="shared" si="8"/>
        <v>520.928</v>
      </c>
      <c r="L18" s="55">
        <f t="shared" si="6"/>
        <v>28.4</v>
      </c>
      <c r="M18" s="56">
        <f t="shared" si="7"/>
        <v>6461.4718399999992</v>
      </c>
      <c r="N18" s="57"/>
    </row>
    <row r="19" spans="1:14" x14ac:dyDescent="0.25">
      <c r="A19" s="52" t="s">
        <v>21</v>
      </c>
      <c r="B19" s="53">
        <v>44</v>
      </c>
      <c r="C19" s="53">
        <v>4</v>
      </c>
      <c r="D19" s="116">
        <v>1623.7083</v>
      </c>
      <c r="E19" s="54">
        <f t="shared" si="0"/>
        <v>6494.8332</v>
      </c>
      <c r="F19" s="54">
        <f t="shared" si="1"/>
        <v>5975.2465439999996</v>
      </c>
      <c r="G19" s="55">
        <f t="shared" si="2"/>
        <v>1623.7083</v>
      </c>
      <c r="H19" s="55">
        <f t="shared" si="3"/>
        <v>1400.9355212400001</v>
      </c>
      <c r="I19" s="55">
        <f t="shared" si="4"/>
        <v>680</v>
      </c>
      <c r="J19" s="55">
        <f t="shared" si="5"/>
        <v>2200</v>
      </c>
      <c r="K19" s="55">
        <f t="shared" si="8"/>
        <v>1018.310008</v>
      </c>
      <c r="L19" s="55">
        <f t="shared" si="6"/>
        <v>56.8</v>
      </c>
      <c r="M19" s="56">
        <f t="shared" si="7"/>
        <v>13474.58702924</v>
      </c>
      <c r="N19" s="57"/>
    </row>
    <row r="20" spans="1:14" x14ac:dyDescent="0.25">
      <c r="A20" s="52" t="s">
        <v>22</v>
      </c>
      <c r="B20" s="53">
        <v>44</v>
      </c>
      <c r="C20" s="53">
        <v>1</v>
      </c>
      <c r="D20" s="116">
        <v>1480.0806</v>
      </c>
      <c r="E20" s="54">
        <f t="shared" si="0"/>
        <v>1480.0806</v>
      </c>
      <c r="F20" s="54">
        <f t="shared" si="1"/>
        <v>1361.674152</v>
      </c>
      <c r="G20" s="55">
        <f t="shared" si="2"/>
        <v>370.02015</v>
      </c>
      <c r="H20" s="55">
        <f t="shared" si="3"/>
        <v>319.25338542000003</v>
      </c>
      <c r="I20" s="55">
        <f t="shared" si="4"/>
        <v>170</v>
      </c>
      <c r="J20" s="55">
        <f t="shared" si="5"/>
        <v>550</v>
      </c>
      <c r="K20" s="55">
        <f t="shared" si="8"/>
        <v>263.19516399999998</v>
      </c>
      <c r="L20" s="55">
        <f t="shared" si="6"/>
        <v>14.2</v>
      </c>
      <c r="M20" s="56">
        <f t="shared" si="7"/>
        <v>3166.7492994200002</v>
      </c>
      <c r="N20" s="57"/>
    </row>
    <row r="21" spans="1:14" x14ac:dyDescent="0.25">
      <c r="A21" s="52" t="s">
        <v>23</v>
      </c>
      <c r="B21" s="53">
        <v>44</v>
      </c>
      <c r="C21" s="53">
        <v>1</v>
      </c>
      <c r="D21" s="116">
        <v>2110</v>
      </c>
      <c r="E21" s="54">
        <f t="shared" si="0"/>
        <v>2110</v>
      </c>
      <c r="F21" s="54">
        <f t="shared" si="1"/>
        <v>1941.2</v>
      </c>
      <c r="G21" s="55">
        <f t="shared" si="2"/>
        <v>527.5</v>
      </c>
      <c r="H21" s="55">
        <f t="shared" si="3"/>
        <v>455.12700000000001</v>
      </c>
      <c r="I21" s="55">
        <f t="shared" si="4"/>
        <v>170</v>
      </c>
      <c r="J21" s="55">
        <f t="shared" si="5"/>
        <v>550</v>
      </c>
      <c r="K21" s="55">
        <f t="shared" si="8"/>
        <v>225.4</v>
      </c>
      <c r="L21" s="55">
        <f t="shared" si="6"/>
        <v>14.2</v>
      </c>
      <c r="M21" s="56">
        <f t="shared" si="7"/>
        <v>4052.2269999999999</v>
      </c>
      <c r="N21" s="57"/>
    </row>
    <row r="22" spans="1:14" x14ac:dyDescent="0.25">
      <c r="A22" s="52" t="s">
        <v>24</v>
      </c>
      <c r="B22" s="53">
        <v>44</v>
      </c>
      <c r="C22" s="53">
        <v>1</v>
      </c>
      <c r="D22" s="116">
        <v>1863.8052</v>
      </c>
      <c r="E22" s="54">
        <f t="shared" si="0"/>
        <v>1863.8052</v>
      </c>
      <c r="F22" s="54">
        <f t="shared" si="1"/>
        <v>1714.7007840000001</v>
      </c>
      <c r="G22" s="55">
        <f t="shared" si="2"/>
        <v>465.9513</v>
      </c>
      <c r="H22" s="55">
        <f t="shared" si="3"/>
        <v>402.02278164000001</v>
      </c>
      <c r="I22" s="55">
        <f t="shared" si="4"/>
        <v>170</v>
      </c>
      <c r="J22" s="55">
        <f t="shared" si="5"/>
        <v>550</v>
      </c>
      <c r="K22" s="55">
        <f t="shared" si="8"/>
        <v>240.17168800000002</v>
      </c>
      <c r="L22" s="55">
        <f t="shared" si="6"/>
        <v>14.2</v>
      </c>
      <c r="M22" s="56">
        <f t="shared" si="7"/>
        <v>3706.1509696399999</v>
      </c>
      <c r="N22" s="57"/>
    </row>
    <row r="23" spans="1:14" x14ac:dyDescent="0.25">
      <c r="A23" s="52" t="s">
        <v>25</v>
      </c>
      <c r="B23" s="53">
        <v>44</v>
      </c>
      <c r="C23" s="53">
        <v>5</v>
      </c>
      <c r="D23" s="116">
        <v>1596.2993999999999</v>
      </c>
      <c r="E23" s="54">
        <f t="shared" si="0"/>
        <v>7981.4969999999994</v>
      </c>
      <c r="F23" s="54">
        <f t="shared" si="1"/>
        <v>7342.9772399999993</v>
      </c>
      <c r="G23" s="55">
        <f t="shared" si="2"/>
        <v>1995.3742499999998</v>
      </c>
      <c r="H23" s="55">
        <f t="shared" si="3"/>
        <v>1721.6089029</v>
      </c>
      <c r="I23" s="55">
        <f t="shared" si="4"/>
        <v>850</v>
      </c>
      <c r="J23" s="55">
        <f t="shared" si="5"/>
        <v>2750</v>
      </c>
      <c r="K23" s="55">
        <f t="shared" si="8"/>
        <v>1281.1101800000001</v>
      </c>
      <c r="L23" s="55">
        <f t="shared" si="6"/>
        <v>71</v>
      </c>
      <c r="M23" s="56">
        <f t="shared" si="7"/>
        <v>16650.590332899999</v>
      </c>
      <c r="N23" s="57"/>
    </row>
    <row r="24" spans="1:14" x14ac:dyDescent="0.25">
      <c r="A24" s="52" t="s">
        <v>26</v>
      </c>
      <c r="B24" s="53">
        <v>44</v>
      </c>
      <c r="C24" s="53">
        <v>1</v>
      </c>
      <c r="D24" s="116">
        <v>2192.712</v>
      </c>
      <c r="E24" s="54">
        <f t="shared" si="0"/>
        <v>2192.712</v>
      </c>
      <c r="F24" s="54">
        <f t="shared" si="1"/>
        <v>2017.29504</v>
      </c>
      <c r="G24" s="55">
        <f t="shared" si="2"/>
        <v>548.178</v>
      </c>
      <c r="H24" s="55">
        <f t="shared" si="3"/>
        <v>472.96797839999999</v>
      </c>
      <c r="I24" s="55">
        <f t="shared" si="4"/>
        <v>170</v>
      </c>
      <c r="J24" s="55">
        <f t="shared" si="5"/>
        <v>550</v>
      </c>
      <c r="K24" s="55">
        <f t="shared" si="8"/>
        <v>220.43728000000002</v>
      </c>
      <c r="L24" s="55">
        <f t="shared" si="6"/>
        <v>14.2</v>
      </c>
      <c r="M24" s="56">
        <f t="shared" si="7"/>
        <v>4168.4952583999993</v>
      </c>
      <c r="N24" s="57"/>
    </row>
    <row r="25" spans="1:14" x14ac:dyDescent="0.25">
      <c r="A25" s="52" t="s">
        <v>27</v>
      </c>
      <c r="B25" s="53">
        <v>44</v>
      </c>
      <c r="C25" s="53">
        <v>1</v>
      </c>
      <c r="D25" s="116">
        <v>2192.712</v>
      </c>
      <c r="E25" s="54">
        <f t="shared" si="0"/>
        <v>2192.712</v>
      </c>
      <c r="F25" s="54">
        <f t="shared" si="1"/>
        <v>2017.29504</v>
      </c>
      <c r="G25" s="55">
        <f t="shared" si="2"/>
        <v>548.178</v>
      </c>
      <c r="H25" s="55">
        <f t="shared" si="3"/>
        <v>472.96797839999999</v>
      </c>
      <c r="I25" s="55">
        <f t="shared" si="4"/>
        <v>170</v>
      </c>
      <c r="J25" s="55">
        <f t="shared" si="5"/>
        <v>550</v>
      </c>
      <c r="K25" s="55">
        <f t="shared" si="8"/>
        <v>220.43728000000002</v>
      </c>
      <c r="L25" s="55">
        <f t="shared" si="6"/>
        <v>14.2</v>
      </c>
      <c r="M25" s="56">
        <f t="shared" si="7"/>
        <v>4168.4952583999993</v>
      </c>
      <c r="N25" s="57"/>
    </row>
    <row r="26" spans="1:14" ht="22" thickBot="1" x14ac:dyDescent="0.3">
      <c r="A26" s="58" t="s">
        <v>28</v>
      </c>
      <c r="B26" s="59">
        <v>44</v>
      </c>
      <c r="C26" s="59">
        <v>6</v>
      </c>
      <c r="D26" s="117">
        <v>1534.8984</v>
      </c>
      <c r="E26" s="60">
        <f t="shared" si="0"/>
        <v>9209.3904000000002</v>
      </c>
      <c r="F26" s="60">
        <f t="shared" si="1"/>
        <v>8472.6391679999997</v>
      </c>
      <c r="G26" s="61">
        <f t="shared" si="2"/>
        <v>2302.3476000000001</v>
      </c>
      <c r="H26" s="61">
        <f t="shared" si="3"/>
        <v>1986.4655092800001</v>
      </c>
      <c r="I26" s="61">
        <f t="shared" si="4"/>
        <v>1020</v>
      </c>
      <c r="J26" s="61">
        <f>C26*25*22</f>
        <v>3300</v>
      </c>
      <c r="K26" s="61">
        <f t="shared" si="8"/>
        <v>1559.4365760000001</v>
      </c>
      <c r="L26" s="61">
        <f t="shared" si="6"/>
        <v>85.199999999999989</v>
      </c>
      <c r="M26" s="62">
        <f t="shared" si="7"/>
        <v>19462.84008528</v>
      </c>
      <c r="N26" s="57"/>
    </row>
    <row r="27" spans="1:14" x14ac:dyDescent="0.25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63"/>
    </row>
    <row r="28" spans="1:14" s="68" customFormat="1" x14ac:dyDescent="0.25">
      <c r="A28" s="64" t="s">
        <v>29</v>
      </c>
      <c r="B28" s="65"/>
      <c r="C28" s="65">
        <f>SUM(C14:C26)</f>
        <v>78</v>
      </c>
      <c r="D28" s="118"/>
      <c r="E28" s="66">
        <f>SUM(E14:E26)</f>
        <v>173331.99040000001</v>
      </c>
      <c r="F28" s="66">
        <f>SUM(F14:F26)</f>
        <v>159465.43116800001</v>
      </c>
      <c r="G28" s="66">
        <f t="shared" ref="G28:I28" si="9">SUM(G14:G26)</f>
        <v>43332.997600000002</v>
      </c>
      <c r="H28" s="66">
        <f t="shared" si="9"/>
        <v>37387.710329280009</v>
      </c>
      <c r="I28" s="66">
        <f t="shared" si="9"/>
        <v>13260</v>
      </c>
      <c r="J28" s="66">
        <f>SUM(J14:J26)</f>
        <v>42900</v>
      </c>
      <c r="K28" s="66">
        <f>SUM(K14:K26)</f>
        <v>17382.066176</v>
      </c>
      <c r="L28" s="66">
        <f>SUM(L14:L26)</f>
        <v>1107.6000000000001</v>
      </c>
      <c r="M28" s="66">
        <f>SUM(M14:M26)</f>
        <v>328702.36450527998</v>
      </c>
      <c r="N28" s="67">
        <f>M28/I6</f>
        <v>0.80003671454588676</v>
      </c>
    </row>
    <row r="29" spans="1:14" ht="30.75" customHeight="1" x14ac:dyDescent="0.25">
      <c r="G29" s="50"/>
    </row>
    <row r="30" spans="1:14" x14ac:dyDescent="0.25">
      <c r="G30" s="50"/>
      <c r="M30" s="50"/>
    </row>
    <row r="31" spans="1:14" x14ac:dyDescent="0.25">
      <c r="A31" s="94"/>
      <c r="H31" s="129"/>
      <c r="M31" s="102"/>
    </row>
    <row r="32" spans="1:14" ht="32.25" customHeight="1" x14ac:dyDescent="0.3">
      <c r="A32" s="90" t="s">
        <v>30</v>
      </c>
      <c r="B32" s="91"/>
      <c r="C32" s="91"/>
      <c r="D32" s="115"/>
      <c r="E32" s="91"/>
      <c r="F32" s="91"/>
      <c r="H32" s="129"/>
      <c r="M32" s="50"/>
    </row>
    <row r="33" spans="1:8" ht="33" customHeight="1" x14ac:dyDescent="0.3">
      <c r="A33" s="90" t="s">
        <v>31</v>
      </c>
      <c r="B33" s="91"/>
      <c r="C33" s="91"/>
      <c r="D33" s="115"/>
      <c r="E33" s="91"/>
      <c r="F33" s="91"/>
      <c r="H33" s="129"/>
    </row>
    <row r="34" spans="1:8" x14ac:dyDescent="0.25">
      <c r="A34" s="69"/>
    </row>
  </sheetData>
  <mergeCells count="2">
    <mergeCell ref="A27:L27"/>
    <mergeCell ref="E9:G9"/>
  </mergeCells>
  <phoneticPr fontId="4" type="noConversion"/>
  <printOptions horizontalCentered="1"/>
  <pageMargins left="0" right="0" top="0" bottom="0" header="0" footer="0"/>
  <pageSetup paperSize="9" scale="54" orientation="landscape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B2:K36"/>
  <sheetViews>
    <sheetView topLeftCell="A11" zoomScaleNormal="100" workbookViewId="0">
      <selection activeCell="G22" sqref="G22:G29"/>
    </sheetView>
  </sheetViews>
  <sheetFormatPr baseColWidth="10" defaultColWidth="8.83203125" defaultRowHeight="15" x14ac:dyDescent="0.2"/>
  <cols>
    <col min="1" max="1" width="2.6640625" customWidth="1"/>
    <col min="2" max="2" width="7.5" bestFit="1" customWidth="1"/>
    <col min="3" max="3" width="59.5" customWidth="1"/>
    <col min="4" max="4" width="12.33203125" customWidth="1"/>
    <col min="5" max="5" width="5.83203125" bestFit="1" customWidth="1"/>
    <col min="6" max="6" width="14.83203125" customWidth="1"/>
    <col min="7" max="7" width="15.33203125" bestFit="1" customWidth="1"/>
    <col min="8" max="8" width="17.83203125" bestFit="1" customWidth="1"/>
    <col min="9" max="9" width="7" hidden="1" customWidth="1"/>
    <col min="10" max="10" width="10.83203125" bestFit="1" customWidth="1"/>
    <col min="11" max="11" width="12.83203125" customWidth="1"/>
  </cols>
  <sheetData>
    <row r="2" spans="2:10" ht="19" x14ac:dyDescent="0.25">
      <c r="B2" s="171"/>
      <c r="C2" s="171"/>
      <c r="D2" s="171"/>
      <c r="E2" s="171"/>
      <c r="F2" s="171"/>
      <c r="G2" s="171"/>
    </row>
    <row r="3" spans="2:10" ht="19" x14ac:dyDescent="0.25">
      <c r="B3" s="171"/>
      <c r="C3" s="171"/>
      <c r="D3" s="171"/>
      <c r="E3" s="171"/>
      <c r="F3" s="171"/>
      <c r="G3" s="171"/>
    </row>
    <row r="4" spans="2:10" ht="8" customHeight="1" x14ac:dyDescent="0.2">
      <c r="B4" s="6"/>
      <c r="C4" s="6"/>
      <c r="D4" s="6"/>
      <c r="E4" s="6"/>
      <c r="F4" s="6"/>
      <c r="G4" s="6"/>
    </row>
    <row r="5" spans="2:10" ht="16" x14ac:dyDescent="0.2">
      <c r="B5" s="173"/>
      <c r="C5" s="173"/>
      <c r="D5" s="173"/>
      <c r="E5" s="173"/>
      <c r="F5" s="173"/>
      <c r="G5" s="173"/>
    </row>
    <row r="6" spans="2:10" ht="6" customHeight="1" x14ac:dyDescent="0.2"/>
    <row r="7" spans="2:10" x14ac:dyDescent="0.2">
      <c r="B7" s="172"/>
      <c r="C7" s="172"/>
      <c r="D7" s="172"/>
      <c r="E7" s="172"/>
      <c r="F7" s="172"/>
      <c r="G7" s="172"/>
    </row>
    <row r="8" spans="2:10" ht="24" x14ac:dyDescent="0.3">
      <c r="B8" s="92" t="s">
        <v>3</v>
      </c>
      <c r="C8" s="97"/>
      <c r="D8" s="97"/>
      <c r="E8" s="97"/>
      <c r="F8" s="97"/>
      <c r="G8" s="97"/>
    </row>
    <row r="9" spans="2:10" ht="24" x14ac:dyDescent="0.3">
      <c r="B9" s="90" t="s">
        <v>176</v>
      </c>
      <c r="C9" s="97"/>
      <c r="D9" s="97"/>
      <c r="E9" s="97"/>
      <c r="F9" s="97"/>
      <c r="G9" s="97"/>
    </row>
    <row r="10" spans="2:10" ht="24" x14ac:dyDescent="0.3">
      <c r="B10" s="91" t="s">
        <v>173</v>
      </c>
      <c r="C10" s="97"/>
      <c r="D10" s="94">
        <v>240</v>
      </c>
      <c r="E10" s="97"/>
      <c r="F10" s="97"/>
      <c r="G10" s="97"/>
    </row>
    <row r="11" spans="2:10" ht="24" x14ac:dyDescent="0.3">
      <c r="B11" s="91" t="s">
        <v>174</v>
      </c>
      <c r="C11" s="97"/>
      <c r="D11" s="94">
        <v>180</v>
      </c>
      <c r="E11" s="97"/>
      <c r="F11" s="97"/>
      <c r="G11" s="97"/>
    </row>
    <row r="12" spans="2:10" ht="21" customHeight="1" x14ac:dyDescent="0.3">
      <c r="B12" s="91" t="s">
        <v>175</v>
      </c>
      <c r="D12" s="94">
        <v>125</v>
      </c>
    </row>
    <row r="13" spans="2:10" ht="22" thickBot="1" x14ac:dyDescent="0.3">
      <c r="D13" s="148">
        <f>SUM(D10:D12)</f>
        <v>545</v>
      </c>
    </row>
    <row r="14" spans="2:10" x14ac:dyDescent="0.2">
      <c r="B14" s="168" t="s">
        <v>177</v>
      </c>
      <c r="C14" s="169"/>
      <c r="D14" s="169"/>
      <c r="E14" s="169"/>
      <c r="F14" s="169"/>
      <c r="G14" s="169"/>
      <c r="H14" s="170"/>
    </row>
    <row r="15" spans="2:10" ht="16" thickBot="1" x14ac:dyDescent="0.25">
      <c r="B15" s="181" t="s">
        <v>69</v>
      </c>
      <c r="C15" s="179"/>
      <c r="D15" s="177"/>
      <c r="E15" s="178"/>
      <c r="F15" s="179"/>
      <c r="G15" s="22" t="s">
        <v>70</v>
      </c>
      <c r="H15" s="23" t="s">
        <v>71</v>
      </c>
    </row>
    <row r="16" spans="2:10" ht="15" customHeight="1" x14ac:dyDescent="0.2">
      <c r="B16" s="182" t="s">
        <v>72</v>
      </c>
      <c r="C16" s="183"/>
      <c r="D16" s="186"/>
      <c r="E16" s="187"/>
      <c r="F16" s="188"/>
      <c r="G16" s="24">
        <f>SUM(G17:G20)</f>
        <v>328702.36450528004</v>
      </c>
      <c r="H16" s="25">
        <f>SUM(H17:H20)</f>
        <v>328702.36450528004</v>
      </c>
      <c r="I16" s="32">
        <f>H16/H32</f>
        <v>0.80003671454588698</v>
      </c>
      <c r="J16" s="5"/>
    </row>
    <row r="17" spans="2:11" x14ac:dyDescent="0.2">
      <c r="B17" s="1" t="s">
        <v>73</v>
      </c>
      <c r="C17" s="2" t="s">
        <v>74</v>
      </c>
      <c r="D17" s="189"/>
      <c r="E17" s="190"/>
      <c r="F17" s="191"/>
      <c r="G17" s="12">
        <f>VPTA!E28</f>
        <v>173331.99040000001</v>
      </c>
      <c r="H17" s="16">
        <f>G17</f>
        <v>173331.99040000001</v>
      </c>
    </row>
    <row r="18" spans="2:11" x14ac:dyDescent="0.2">
      <c r="B18" s="1" t="s">
        <v>75</v>
      </c>
      <c r="C18" s="2" t="s">
        <v>76</v>
      </c>
      <c r="D18" s="189"/>
      <c r="E18" s="190"/>
      <c r="F18" s="191"/>
      <c r="G18" s="12">
        <f>VPTA!I28+VPTA!J28+VPTA!K28+VPTA!L28</f>
        <v>74649.666175999999</v>
      </c>
      <c r="H18" s="16">
        <f>G18</f>
        <v>74649.666175999999</v>
      </c>
    </row>
    <row r="19" spans="2:11" x14ac:dyDescent="0.2">
      <c r="B19" s="1" t="s">
        <v>77</v>
      </c>
      <c r="C19" s="2" t="s">
        <v>78</v>
      </c>
      <c r="D19" s="189"/>
      <c r="E19" s="190"/>
      <c r="F19" s="191"/>
      <c r="G19" s="12">
        <f>VPTA!G28</f>
        <v>43332.997600000002</v>
      </c>
      <c r="H19" s="16">
        <f>G19</f>
        <v>43332.997600000002</v>
      </c>
      <c r="I19" s="35"/>
    </row>
    <row r="20" spans="2:11" ht="16" thickBot="1" x14ac:dyDescent="0.25">
      <c r="B20" s="3" t="s">
        <v>79</v>
      </c>
      <c r="C20" s="4" t="s">
        <v>80</v>
      </c>
      <c r="D20" s="192"/>
      <c r="E20" s="193"/>
      <c r="F20" s="194"/>
      <c r="G20" s="13">
        <f>VPTA!H28</f>
        <v>37387.710329280009</v>
      </c>
      <c r="H20" s="17">
        <f>G20</f>
        <v>37387.710329280009</v>
      </c>
      <c r="I20" s="35"/>
      <c r="J20" s="36"/>
    </row>
    <row r="21" spans="2:11" ht="15.75" customHeight="1" thickTop="1" x14ac:dyDescent="0.2">
      <c r="B21" s="184" t="s">
        <v>81</v>
      </c>
      <c r="C21" s="185"/>
      <c r="D21" s="26" t="s">
        <v>82</v>
      </c>
      <c r="E21" s="26" t="s">
        <v>83</v>
      </c>
      <c r="F21" s="26" t="s">
        <v>84</v>
      </c>
      <c r="G21" s="27" t="e">
        <f>SUM(G22:G29)</f>
        <v>#REF!</v>
      </c>
      <c r="H21" s="28" t="e">
        <f>G21</f>
        <v>#REF!</v>
      </c>
      <c r="I21" s="35" t="e">
        <f>H21/H32</f>
        <v>#REF!</v>
      </c>
    </row>
    <row r="22" spans="2:11" x14ac:dyDescent="0.2">
      <c r="B22" s="1" t="s">
        <v>85</v>
      </c>
      <c r="C22" s="2" t="str">
        <f>'Plano Analitico'!C26</f>
        <v>Material de Limpeza / Higiene</v>
      </c>
      <c r="D22" s="2" t="s">
        <v>86</v>
      </c>
      <c r="E22" s="43">
        <f>$D$13</f>
        <v>545</v>
      </c>
      <c r="F22" s="12">
        <f>G22/E22</f>
        <v>42.201834862385319</v>
      </c>
      <c r="G22" s="12">
        <f>'Plano Analitico'!D26</f>
        <v>23000</v>
      </c>
      <c r="H22" s="16">
        <f t="shared" ref="H22:H24" si="0">G22</f>
        <v>23000</v>
      </c>
    </row>
    <row r="23" spans="2:11" x14ac:dyDescent="0.2">
      <c r="B23" s="1" t="s">
        <v>87</v>
      </c>
      <c r="C23" s="2" t="str">
        <f>'Plano Analitico'!C27</f>
        <v>Material de Escritório</v>
      </c>
      <c r="D23" s="2" t="s">
        <v>86</v>
      </c>
      <c r="E23" s="43">
        <f t="shared" ref="E23:E25" si="1">$D$13</f>
        <v>545</v>
      </c>
      <c r="F23" s="12">
        <f>G23/E23</f>
        <v>18.348623853211009</v>
      </c>
      <c r="G23" s="12">
        <f>'Plano Analitico'!D27</f>
        <v>10000</v>
      </c>
      <c r="H23" s="16">
        <f t="shared" si="0"/>
        <v>10000</v>
      </c>
      <c r="K23" s="5"/>
    </row>
    <row r="24" spans="2:11" x14ac:dyDescent="0.2">
      <c r="B24" s="1" t="s">
        <v>88</v>
      </c>
      <c r="C24" s="2" t="str">
        <f>'Plano Analitico'!C28</f>
        <v>Material Pedagógico</v>
      </c>
      <c r="D24" s="2" t="s">
        <v>86</v>
      </c>
      <c r="E24" s="43">
        <f t="shared" si="1"/>
        <v>545</v>
      </c>
      <c r="F24" s="12">
        <f>G24/E24</f>
        <v>14.678899082568808</v>
      </c>
      <c r="G24" s="12">
        <f>'Plano Analitico'!D28</f>
        <v>8000</v>
      </c>
      <c r="H24" s="16">
        <f t="shared" si="0"/>
        <v>8000</v>
      </c>
      <c r="K24" s="5"/>
    </row>
    <row r="25" spans="2:11" x14ac:dyDescent="0.2">
      <c r="B25" s="1" t="s">
        <v>89</v>
      </c>
      <c r="C25" s="2" t="s">
        <v>90</v>
      </c>
      <c r="D25" s="2" t="s">
        <v>86</v>
      </c>
      <c r="E25" s="43">
        <f t="shared" si="1"/>
        <v>545</v>
      </c>
      <c r="F25" s="12">
        <f>G25/E25</f>
        <v>11.009174311926605</v>
      </c>
      <c r="G25" s="12">
        <f>'Plano Analitico'!D29</f>
        <v>6000</v>
      </c>
      <c r="H25" s="16">
        <f>G25</f>
        <v>6000</v>
      </c>
      <c r="K25" s="5"/>
    </row>
    <row r="26" spans="2:11" x14ac:dyDescent="0.2">
      <c r="B26" s="1" t="s">
        <v>91</v>
      </c>
      <c r="C26" s="2" t="str">
        <f>'Plano Analitico'!C31</f>
        <v>Assessoria Contábil / RH</v>
      </c>
      <c r="D26" s="2"/>
      <c r="E26" s="43"/>
      <c r="F26" s="12"/>
      <c r="G26" s="12">
        <f>'Plano Analitico'!D31</f>
        <v>6500</v>
      </c>
      <c r="H26" s="16">
        <f>G26</f>
        <v>6500</v>
      </c>
      <c r="K26" s="5"/>
    </row>
    <row r="27" spans="2:11" ht="16" thickBot="1" x14ac:dyDescent="0.25">
      <c r="B27" s="1" t="s">
        <v>92</v>
      </c>
      <c r="C27" s="2" t="str">
        <f>'Plano Analitico'!C32</f>
        <v>Treinamento e Capacitação</v>
      </c>
      <c r="D27" s="2"/>
      <c r="E27" s="43"/>
      <c r="F27" s="12"/>
      <c r="G27" s="12">
        <f>'Plano Analitico'!D32</f>
        <v>3500</v>
      </c>
      <c r="H27" s="16">
        <f>G27</f>
        <v>3500</v>
      </c>
      <c r="K27" s="5"/>
    </row>
    <row r="28" spans="2:11" ht="16.5" customHeight="1" thickTop="1" x14ac:dyDescent="0.2">
      <c r="B28" s="195" t="s">
        <v>93</v>
      </c>
      <c r="C28" s="196"/>
      <c r="D28" s="26"/>
      <c r="E28" s="26"/>
      <c r="F28" s="26"/>
      <c r="G28" s="86" t="e">
        <f>'Plano Analitico'!D34+'Plano Analitico'!#REF!+'Plano Analitico'!D35+'Plano Analitico'!D36+'Plano Analitico'!D37+'Plano Analitico'!D38+'Plano Analitico'!#REF!</f>
        <v>#REF!</v>
      </c>
      <c r="H28" s="87" t="e">
        <f>G28</f>
        <v>#REF!</v>
      </c>
      <c r="K28" s="5"/>
    </row>
    <row r="29" spans="2:11" ht="15.75" customHeight="1" thickBot="1" x14ac:dyDescent="0.25">
      <c r="B29" s="197" t="s">
        <v>94</v>
      </c>
      <c r="C29" s="198"/>
      <c r="D29" s="26"/>
      <c r="E29" s="26"/>
      <c r="F29" s="26"/>
      <c r="G29" s="88">
        <f>'Plano Analitico'!D41</f>
        <v>0</v>
      </c>
      <c r="H29" s="89">
        <f>G29</f>
        <v>0</v>
      </c>
      <c r="K29" s="5"/>
    </row>
    <row r="30" spans="2:11" ht="24.75" customHeight="1" thickTop="1" thickBot="1" x14ac:dyDescent="0.25">
      <c r="B30" s="180" t="s">
        <v>64</v>
      </c>
      <c r="C30" s="176"/>
      <c r="D30" s="174"/>
      <c r="E30" s="175"/>
      <c r="F30" s="176"/>
      <c r="G30" s="29" t="e">
        <f>SUM(G16,G21)</f>
        <v>#REF!</v>
      </c>
      <c r="H30" s="30" t="e">
        <f>SUM(H16,H21)</f>
        <v>#REF!</v>
      </c>
      <c r="I30" s="37" t="e">
        <f>G30/H32</f>
        <v>#REF!</v>
      </c>
    </row>
    <row r="31" spans="2:11" ht="16" thickBot="1" x14ac:dyDescent="0.25"/>
    <row r="32" spans="2:11" ht="16" thickBot="1" x14ac:dyDescent="0.25">
      <c r="G32" s="33" t="s">
        <v>64</v>
      </c>
      <c r="H32" s="34">
        <f>VPTA!H6/12</f>
        <v>410859.10000000003</v>
      </c>
      <c r="K32" s="36"/>
    </row>
    <row r="33" spans="3:8" x14ac:dyDescent="0.2">
      <c r="G33" s="5"/>
    </row>
    <row r="34" spans="3:8" ht="16" x14ac:dyDescent="0.2">
      <c r="C34" s="44" t="s">
        <v>30</v>
      </c>
      <c r="D34" s="38"/>
      <c r="E34" s="38"/>
      <c r="F34" s="39"/>
      <c r="G34" s="5"/>
      <c r="H34" s="36"/>
    </row>
    <row r="35" spans="3:8" ht="16" x14ac:dyDescent="0.2">
      <c r="C35" s="44" t="s">
        <v>31</v>
      </c>
      <c r="D35" s="31"/>
      <c r="E35" s="31"/>
      <c r="F35" s="42"/>
      <c r="H35" s="36"/>
    </row>
    <row r="36" spans="3:8" x14ac:dyDescent="0.2">
      <c r="D36" s="40"/>
      <c r="E36" s="40"/>
      <c r="F36" s="41"/>
      <c r="H36" s="36"/>
    </row>
  </sheetData>
  <mergeCells count="18">
    <mergeCell ref="D30:F30"/>
    <mergeCell ref="D15:F15"/>
    <mergeCell ref="B30:C30"/>
    <mergeCell ref="B15:C15"/>
    <mergeCell ref="B16:C16"/>
    <mergeCell ref="B21:C21"/>
    <mergeCell ref="D16:F16"/>
    <mergeCell ref="D17:F17"/>
    <mergeCell ref="D18:F18"/>
    <mergeCell ref="D19:F19"/>
    <mergeCell ref="D20:F20"/>
    <mergeCell ref="B28:C28"/>
    <mergeCell ref="B29:C29"/>
    <mergeCell ref="B14:H14"/>
    <mergeCell ref="B2:G2"/>
    <mergeCell ref="B3:G3"/>
    <mergeCell ref="B7:G7"/>
    <mergeCell ref="B5:G5"/>
  </mergeCells>
  <phoneticPr fontId="4" type="noConversion"/>
  <pageMargins left="0.39370078740157483" right="0.39370078740157483" top="0.39370078740157483" bottom="0.39370078740157483" header="0.39370078740157483" footer="0.3937007874015748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pageSetUpPr fitToPage="1"/>
  </sheetPr>
  <dimension ref="B1:Q56"/>
  <sheetViews>
    <sheetView topLeftCell="B28" zoomScale="60" zoomScaleNormal="60" zoomScaleSheetLayoutView="50" workbookViewId="0">
      <selection activeCell="H41" sqref="H41"/>
    </sheetView>
  </sheetViews>
  <sheetFormatPr baseColWidth="10" defaultColWidth="4.5" defaultRowHeight="80.25" customHeight="1" x14ac:dyDescent="0.25"/>
  <cols>
    <col min="1" max="1" width="2.6640625" style="45" customWidth="1"/>
    <col min="2" max="2" width="7.33203125" style="45" customWidth="1"/>
    <col min="3" max="3" width="96.5" style="45" customWidth="1"/>
    <col min="4" max="15" width="22.33203125" style="45" bestFit="1" customWidth="1"/>
    <col min="16" max="16" width="25.33203125" style="70" bestFit="1" customWidth="1"/>
    <col min="17" max="17" width="4.5" style="49"/>
    <col min="18" max="16384" width="4.5" style="45"/>
  </cols>
  <sheetData>
    <row r="1" spans="2:16" ht="18.75" customHeight="1" x14ac:dyDescent="0.25">
      <c r="B1" s="202"/>
      <c r="C1" s="202"/>
    </row>
    <row r="2" spans="2:16" ht="22.5" customHeight="1" x14ac:dyDescent="0.25">
      <c r="B2" s="202"/>
      <c r="C2" s="202"/>
    </row>
    <row r="3" spans="2:16" ht="42" customHeight="1" x14ac:dyDescent="0.25">
      <c r="B3" s="202"/>
      <c r="C3" s="202"/>
    </row>
    <row r="4" spans="2:16" ht="24.75" customHeight="1" x14ac:dyDescent="0.3">
      <c r="B4" s="92" t="s">
        <v>184</v>
      </c>
      <c r="C4" s="97"/>
      <c r="D4" s="97"/>
    </row>
    <row r="5" spans="2:16" ht="24.75" customHeight="1" x14ac:dyDescent="0.3">
      <c r="B5" s="90" t="s">
        <v>176</v>
      </c>
      <c r="C5" s="97"/>
      <c r="D5" s="97"/>
    </row>
    <row r="6" spans="2:16" ht="24.75" customHeight="1" x14ac:dyDescent="0.3">
      <c r="B6" s="91" t="s">
        <v>173</v>
      </c>
      <c r="C6" s="97"/>
      <c r="D6" s="94">
        <v>240</v>
      </c>
    </row>
    <row r="7" spans="2:16" ht="24.75" customHeight="1" x14ac:dyDescent="0.3">
      <c r="B7" s="91" t="s">
        <v>174</v>
      </c>
      <c r="C7" s="97"/>
      <c r="D7" s="94">
        <v>180</v>
      </c>
    </row>
    <row r="8" spans="2:16" ht="24.75" customHeight="1" x14ac:dyDescent="0.3">
      <c r="B8" s="91" t="s">
        <v>175</v>
      </c>
      <c r="C8"/>
      <c r="D8" s="94">
        <v>125</v>
      </c>
    </row>
    <row r="9" spans="2:16" ht="24.75" customHeight="1" x14ac:dyDescent="0.25">
      <c r="B9"/>
      <c r="C9"/>
      <c r="D9" s="148">
        <f>SUM(D6:D8)</f>
        <v>545</v>
      </c>
    </row>
    <row r="10" spans="2:16" ht="22.5" customHeight="1" x14ac:dyDescent="0.25">
      <c r="B10" s="228" t="s">
        <v>177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</row>
    <row r="11" spans="2:16" ht="22.5" customHeight="1" thickBot="1" x14ac:dyDescent="0.3">
      <c r="B11" s="232" t="s">
        <v>69</v>
      </c>
      <c r="C11" s="233"/>
      <c r="D11" s="72" t="s">
        <v>95</v>
      </c>
      <c r="E11" s="72" t="s">
        <v>96</v>
      </c>
      <c r="F11" s="72" t="s">
        <v>97</v>
      </c>
      <c r="G11" s="72" t="s">
        <v>98</v>
      </c>
      <c r="H11" s="72" t="s">
        <v>99</v>
      </c>
      <c r="I11" s="72" t="s">
        <v>100</v>
      </c>
      <c r="J11" s="72" t="s">
        <v>101</v>
      </c>
      <c r="K11" s="72" t="s">
        <v>102</v>
      </c>
      <c r="L11" s="72" t="s">
        <v>103</v>
      </c>
      <c r="M11" s="72" t="s">
        <v>104</v>
      </c>
      <c r="N11" s="72" t="s">
        <v>105</v>
      </c>
      <c r="O11" s="72" t="s">
        <v>106</v>
      </c>
      <c r="P11" s="73" t="s">
        <v>64</v>
      </c>
    </row>
    <row r="12" spans="2:16" ht="22.5" customHeight="1" x14ac:dyDescent="0.25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74"/>
    </row>
    <row r="13" spans="2:16" ht="22.5" customHeight="1" x14ac:dyDescent="0.25">
      <c r="B13" s="230" t="s">
        <v>107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</row>
    <row r="14" spans="2:16" ht="22.5" customHeight="1" x14ac:dyDescent="0.3">
      <c r="B14" s="227" t="s">
        <v>108</v>
      </c>
      <c r="C14" s="227"/>
      <c r="D14" s="75">
        <f>SUM(D15:D16)</f>
        <v>410859.10000000003</v>
      </c>
      <c r="E14" s="75">
        <f t="shared" ref="E14:P14" si="0">SUM(E15:E16)</f>
        <v>410859.10000000003</v>
      </c>
      <c r="F14" s="75">
        <f t="shared" si="0"/>
        <v>410859.10000000003</v>
      </c>
      <c r="G14" s="75">
        <f t="shared" si="0"/>
        <v>410859.10000000003</v>
      </c>
      <c r="H14" s="75">
        <f t="shared" si="0"/>
        <v>616288.65</v>
      </c>
      <c r="I14" s="75">
        <f t="shared" si="0"/>
        <v>410859.10000000003</v>
      </c>
      <c r="J14" s="75">
        <f t="shared" si="0"/>
        <v>410859.10000000003</v>
      </c>
      <c r="K14" s="75">
        <f t="shared" si="0"/>
        <v>410859.10000000003</v>
      </c>
      <c r="L14" s="75">
        <f t="shared" si="0"/>
        <v>410859.10000000003</v>
      </c>
      <c r="M14" s="75">
        <f t="shared" si="0"/>
        <v>616288.65</v>
      </c>
      <c r="N14" s="75">
        <f t="shared" si="0"/>
        <v>410859.10000000003</v>
      </c>
      <c r="O14" s="75">
        <f t="shared" si="0"/>
        <v>410859.10000000003</v>
      </c>
      <c r="P14" s="75">
        <f t="shared" si="0"/>
        <v>5341168.3</v>
      </c>
    </row>
    <row r="15" spans="2:16" ht="22.5" customHeight="1" x14ac:dyDescent="0.3">
      <c r="B15" s="227" t="s">
        <v>109</v>
      </c>
      <c r="C15" s="227"/>
      <c r="D15" s="76">
        <f>VPTA!I6</f>
        <v>410859.10000000003</v>
      </c>
      <c r="E15" s="76">
        <f t="shared" ref="E15:O15" si="1">$D$15</f>
        <v>410859.10000000003</v>
      </c>
      <c r="F15" s="76">
        <f t="shared" si="1"/>
        <v>410859.10000000003</v>
      </c>
      <c r="G15" s="76">
        <f t="shared" si="1"/>
        <v>410859.10000000003</v>
      </c>
      <c r="H15" s="76">
        <f t="shared" si="1"/>
        <v>410859.10000000003</v>
      </c>
      <c r="I15" s="76">
        <f t="shared" si="1"/>
        <v>410859.10000000003</v>
      </c>
      <c r="J15" s="76">
        <f t="shared" si="1"/>
        <v>410859.10000000003</v>
      </c>
      <c r="K15" s="76">
        <f t="shared" si="1"/>
        <v>410859.10000000003</v>
      </c>
      <c r="L15" s="76">
        <f t="shared" si="1"/>
        <v>410859.10000000003</v>
      </c>
      <c r="M15" s="76">
        <f t="shared" si="1"/>
        <v>410859.10000000003</v>
      </c>
      <c r="N15" s="76">
        <f t="shared" si="1"/>
        <v>410859.10000000003</v>
      </c>
      <c r="O15" s="76">
        <f t="shared" si="1"/>
        <v>410859.10000000003</v>
      </c>
      <c r="P15" s="76">
        <f>SUM(D15:O15)</f>
        <v>4930309.2</v>
      </c>
    </row>
    <row r="16" spans="2:16" ht="22.5" customHeight="1" x14ac:dyDescent="0.3">
      <c r="B16" s="227" t="s">
        <v>110</v>
      </c>
      <c r="C16" s="227"/>
      <c r="D16" s="76"/>
      <c r="E16" s="76"/>
      <c r="F16" s="76"/>
      <c r="G16" s="76"/>
      <c r="H16" s="76">
        <f>H15/2</f>
        <v>205429.55000000002</v>
      </c>
      <c r="I16" s="76"/>
      <c r="J16" s="76"/>
      <c r="K16" s="76"/>
      <c r="L16" s="76"/>
      <c r="M16" s="76">
        <f>M15/2</f>
        <v>205429.55000000002</v>
      </c>
      <c r="N16" s="76"/>
      <c r="O16" s="76"/>
      <c r="P16" s="76">
        <f>SUM(D16:O16)</f>
        <v>410859.10000000003</v>
      </c>
    </row>
    <row r="17" spans="2:17" ht="37.5" customHeight="1" x14ac:dyDescent="0.3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</row>
    <row r="18" spans="2:17" ht="22.5" customHeight="1" x14ac:dyDescent="0.25">
      <c r="B18" s="224" t="s">
        <v>111</v>
      </c>
      <c r="C18" s="225"/>
      <c r="D18" s="199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1"/>
    </row>
    <row r="19" spans="2:17" ht="22.5" customHeight="1" x14ac:dyDescent="0.25">
      <c r="B19" s="79" t="s">
        <v>112</v>
      </c>
      <c r="C19" s="79" t="s">
        <v>113</v>
      </c>
      <c r="D19" s="199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1"/>
    </row>
    <row r="20" spans="2:17" ht="22.5" customHeight="1" x14ac:dyDescent="0.3">
      <c r="B20" s="80" t="s">
        <v>114</v>
      </c>
      <c r="C20" s="80" t="s">
        <v>115</v>
      </c>
      <c r="D20" s="75">
        <f>VPTA!E28</f>
        <v>173331.99040000001</v>
      </c>
      <c r="E20" s="75">
        <f>$D$20</f>
        <v>173331.99040000001</v>
      </c>
      <c r="F20" s="75">
        <f t="shared" ref="F20:O20" si="2">$D$20</f>
        <v>173331.99040000001</v>
      </c>
      <c r="G20" s="75">
        <f t="shared" si="2"/>
        <v>173331.99040000001</v>
      </c>
      <c r="H20" s="75">
        <f t="shared" si="2"/>
        <v>173331.99040000001</v>
      </c>
      <c r="I20" s="75">
        <f t="shared" si="2"/>
        <v>173331.99040000001</v>
      </c>
      <c r="J20" s="75">
        <f t="shared" si="2"/>
        <v>173331.99040000001</v>
      </c>
      <c r="K20" s="75">
        <f t="shared" si="2"/>
        <v>173331.99040000001</v>
      </c>
      <c r="L20" s="75">
        <f t="shared" si="2"/>
        <v>173331.99040000001</v>
      </c>
      <c r="M20" s="75">
        <f t="shared" si="2"/>
        <v>173331.99040000001</v>
      </c>
      <c r="N20" s="75">
        <f t="shared" si="2"/>
        <v>173331.99040000001</v>
      </c>
      <c r="O20" s="75">
        <f t="shared" si="2"/>
        <v>173331.99040000001</v>
      </c>
      <c r="P20" s="76">
        <f t="shared" ref="P20:P38" si="3">SUM(D20:O20)</f>
        <v>2079983.8848000001</v>
      </c>
    </row>
    <row r="21" spans="2:17" ht="22.5" customHeight="1" x14ac:dyDescent="0.3">
      <c r="B21" s="80" t="s">
        <v>116</v>
      </c>
      <c r="C21" s="80" t="s">
        <v>117</v>
      </c>
      <c r="D21" s="81">
        <f>'Plano Orçamentario'!G19</f>
        <v>43332.997600000002</v>
      </c>
      <c r="E21" s="81">
        <f>$D$21</f>
        <v>43332.997600000002</v>
      </c>
      <c r="F21" s="81">
        <f t="shared" ref="F21:O21" si="4">$D$21</f>
        <v>43332.997600000002</v>
      </c>
      <c r="G21" s="81">
        <f t="shared" si="4"/>
        <v>43332.997600000002</v>
      </c>
      <c r="H21" s="81">
        <f t="shared" si="4"/>
        <v>43332.997600000002</v>
      </c>
      <c r="I21" s="81">
        <f t="shared" si="4"/>
        <v>43332.997600000002</v>
      </c>
      <c r="J21" s="81">
        <f t="shared" si="4"/>
        <v>43332.997600000002</v>
      </c>
      <c r="K21" s="81">
        <f t="shared" si="4"/>
        <v>43332.997600000002</v>
      </c>
      <c r="L21" s="81">
        <f t="shared" si="4"/>
        <v>43332.997600000002</v>
      </c>
      <c r="M21" s="81">
        <f t="shared" si="4"/>
        <v>43332.997600000002</v>
      </c>
      <c r="N21" s="81">
        <f t="shared" si="4"/>
        <v>43332.997600000002</v>
      </c>
      <c r="O21" s="81">
        <f t="shared" si="4"/>
        <v>43332.997600000002</v>
      </c>
      <c r="P21" s="76">
        <f t="shared" si="3"/>
        <v>519995.97120000003</v>
      </c>
    </row>
    <row r="22" spans="2:17" ht="22.5" customHeight="1" x14ac:dyDescent="0.3">
      <c r="B22" s="80" t="s">
        <v>118</v>
      </c>
      <c r="C22" s="80" t="s">
        <v>119</v>
      </c>
      <c r="D22" s="82">
        <f>'Plano Orçamentario'!G18</f>
        <v>74649.666175999999</v>
      </c>
      <c r="E22" s="82">
        <f>$D$22</f>
        <v>74649.666175999999</v>
      </c>
      <c r="F22" s="82">
        <f t="shared" ref="F22:O22" si="5">$D$22</f>
        <v>74649.666175999999</v>
      </c>
      <c r="G22" s="82">
        <f t="shared" si="5"/>
        <v>74649.666175999999</v>
      </c>
      <c r="H22" s="82">
        <f t="shared" si="5"/>
        <v>74649.666175999999</v>
      </c>
      <c r="I22" s="82">
        <f t="shared" si="5"/>
        <v>74649.666175999999</v>
      </c>
      <c r="J22" s="82">
        <f t="shared" si="5"/>
        <v>74649.666175999999</v>
      </c>
      <c r="K22" s="82">
        <f t="shared" si="5"/>
        <v>74649.666175999999</v>
      </c>
      <c r="L22" s="82">
        <f t="shared" si="5"/>
        <v>74649.666175999999</v>
      </c>
      <c r="M22" s="82">
        <f t="shared" si="5"/>
        <v>74649.666175999999</v>
      </c>
      <c r="N22" s="82">
        <f t="shared" si="5"/>
        <v>74649.666175999999</v>
      </c>
      <c r="O22" s="82">
        <f t="shared" si="5"/>
        <v>74649.666175999999</v>
      </c>
      <c r="P22" s="76">
        <f t="shared" si="3"/>
        <v>895795.99411200022</v>
      </c>
    </row>
    <row r="23" spans="2:17" ht="22.5" customHeight="1" x14ac:dyDescent="0.3">
      <c r="B23" s="80" t="s">
        <v>120</v>
      </c>
      <c r="C23" s="80" t="s">
        <v>10</v>
      </c>
      <c r="D23" s="82">
        <f>'Plano Orçamentario'!G20</f>
        <v>37387.710329280009</v>
      </c>
      <c r="E23" s="82">
        <f>$D$23</f>
        <v>37387.710329280009</v>
      </c>
      <c r="F23" s="82">
        <f t="shared" ref="F23:O23" si="6">$D$23</f>
        <v>37387.710329280009</v>
      </c>
      <c r="G23" s="82">
        <f t="shared" si="6"/>
        <v>37387.710329280009</v>
      </c>
      <c r="H23" s="82">
        <f t="shared" si="6"/>
        <v>37387.710329280009</v>
      </c>
      <c r="I23" s="82">
        <f t="shared" si="6"/>
        <v>37387.710329280009</v>
      </c>
      <c r="J23" s="82">
        <f t="shared" si="6"/>
        <v>37387.710329280009</v>
      </c>
      <c r="K23" s="82">
        <f t="shared" si="6"/>
        <v>37387.710329280009</v>
      </c>
      <c r="L23" s="82">
        <f t="shared" si="6"/>
        <v>37387.710329280009</v>
      </c>
      <c r="M23" s="82">
        <f t="shared" si="6"/>
        <v>37387.710329280009</v>
      </c>
      <c r="N23" s="82">
        <f t="shared" si="6"/>
        <v>37387.710329280009</v>
      </c>
      <c r="O23" s="82">
        <f t="shared" si="6"/>
        <v>37387.710329280009</v>
      </c>
      <c r="P23" s="76">
        <f t="shared" si="3"/>
        <v>448652.52395136008</v>
      </c>
      <c r="Q23" s="71"/>
    </row>
    <row r="24" spans="2:17" ht="22.5" customHeight="1" x14ac:dyDescent="0.25">
      <c r="B24" s="224" t="s">
        <v>121</v>
      </c>
      <c r="C24" s="225"/>
      <c r="D24" s="199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1"/>
    </row>
    <row r="25" spans="2:17" ht="22.5" customHeight="1" x14ac:dyDescent="0.25">
      <c r="B25" s="79" t="s">
        <v>122</v>
      </c>
      <c r="C25" s="79" t="s">
        <v>123</v>
      </c>
      <c r="D25" s="203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5"/>
    </row>
    <row r="26" spans="2:17" ht="22.5" customHeight="1" x14ac:dyDescent="0.3">
      <c r="B26" s="80" t="s">
        <v>124</v>
      </c>
      <c r="C26" s="80" t="s">
        <v>125</v>
      </c>
      <c r="D26" s="76">
        <v>23000</v>
      </c>
      <c r="E26" s="76">
        <f>$D$26</f>
        <v>23000</v>
      </c>
      <c r="F26" s="76">
        <f>$D$26</f>
        <v>23000</v>
      </c>
      <c r="G26" s="76">
        <f t="shared" ref="G26:O26" si="7">$D$26</f>
        <v>23000</v>
      </c>
      <c r="H26" s="76">
        <f t="shared" si="7"/>
        <v>23000</v>
      </c>
      <c r="I26" s="76">
        <f t="shared" si="7"/>
        <v>23000</v>
      </c>
      <c r="J26" s="76">
        <f t="shared" si="7"/>
        <v>23000</v>
      </c>
      <c r="K26" s="76">
        <f t="shared" si="7"/>
        <v>23000</v>
      </c>
      <c r="L26" s="76">
        <f t="shared" si="7"/>
        <v>23000</v>
      </c>
      <c r="M26" s="76">
        <f t="shared" si="7"/>
        <v>23000</v>
      </c>
      <c r="N26" s="76">
        <f t="shared" si="7"/>
        <v>23000</v>
      </c>
      <c r="O26" s="76">
        <f t="shared" si="7"/>
        <v>23000</v>
      </c>
      <c r="P26" s="76">
        <f t="shared" si="3"/>
        <v>276000</v>
      </c>
    </row>
    <row r="27" spans="2:17" ht="22.5" customHeight="1" x14ac:dyDescent="0.3">
      <c r="B27" s="80" t="s">
        <v>126</v>
      </c>
      <c r="C27" s="80" t="s">
        <v>127</v>
      </c>
      <c r="D27" s="76">
        <v>10000</v>
      </c>
      <c r="E27" s="76">
        <f>$D$27</f>
        <v>10000</v>
      </c>
      <c r="F27" s="76">
        <f t="shared" ref="F27:O27" si="8">$D$27</f>
        <v>10000</v>
      </c>
      <c r="G27" s="76">
        <f t="shared" si="8"/>
        <v>10000</v>
      </c>
      <c r="H27" s="76">
        <f t="shared" si="8"/>
        <v>10000</v>
      </c>
      <c r="I27" s="76">
        <f t="shared" si="8"/>
        <v>10000</v>
      </c>
      <c r="J27" s="76">
        <f t="shared" si="8"/>
        <v>10000</v>
      </c>
      <c r="K27" s="76">
        <f t="shared" si="8"/>
        <v>10000</v>
      </c>
      <c r="L27" s="76">
        <f t="shared" si="8"/>
        <v>10000</v>
      </c>
      <c r="M27" s="76">
        <f t="shared" si="8"/>
        <v>10000</v>
      </c>
      <c r="N27" s="76">
        <f t="shared" si="8"/>
        <v>10000</v>
      </c>
      <c r="O27" s="76">
        <f t="shared" si="8"/>
        <v>10000</v>
      </c>
      <c r="P27" s="76">
        <f>SUM(D27:O27)</f>
        <v>120000</v>
      </c>
    </row>
    <row r="28" spans="2:17" ht="22.5" customHeight="1" x14ac:dyDescent="0.3">
      <c r="B28" s="80" t="s">
        <v>128</v>
      </c>
      <c r="C28" s="80" t="s">
        <v>129</v>
      </c>
      <c r="D28" s="76">
        <v>8000</v>
      </c>
      <c r="E28" s="76">
        <f>$D$28</f>
        <v>8000</v>
      </c>
      <c r="F28" s="76">
        <f t="shared" ref="F28:O28" si="9">$D$28</f>
        <v>8000</v>
      </c>
      <c r="G28" s="76">
        <f t="shared" si="9"/>
        <v>8000</v>
      </c>
      <c r="H28" s="76">
        <f t="shared" si="9"/>
        <v>8000</v>
      </c>
      <c r="I28" s="76">
        <f t="shared" si="9"/>
        <v>8000</v>
      </c>
      <c r="J28" s="76">
        <f t="shared" si="9"/>
        <v>8000</v>
      </c>
      <c r="K28" s="76">
        <f t="shared" si="9"/>
        <v>8000</v>
      </c>
      <c r="L28" s="76">
        <f t="shared" si="9"/>
        <v>8000</v>
      </c>
      <c r="M28" s="76">
        <f t="shared" si="9"/>
        <v>8000</v>
      </c>
      <c r="N28" s="76">
        <f t="shared" si="9"/>
        <v>8000</v>
      </c>
      <c r="O28" s="76">
        <f t="shared" si="9"/>
        <v>8000</v>
      </c>
      <c r="P28" s="76">
        <f>SUM(D28:O28)</f>
        <v>96000</v>
      </c>
    </row>
    <row r="29" spans="2:17" ht="22.5" customHeight="1" x14ac:dyDescent="0.3">
      <c r="B29" s="80" t="s">
        <v>130</v>
      </c>
      <c r="C29" s="80" t="s">
        <v>90</v>
      </c>
      <c r="D29" s="76">
        <v>6000</v>
      </c>
      <c r="E29" s="76">
        <f>$D$29</f>
        <v>6000</v>
      </c>
      <c r="F29" s="76">
        <f t="shared" ref="F29:O29" si="10">$D$29</f>
        <v>6000</v>
      </c>
      <c r="G29" s="76">
        <f t="shared" si="10"/>
        <v>6000</v>
      </c>
      <c r="H29" s="76">
        <f t="shared" si="10"/>
        <v>6000</v>
      </c>
      <c r="I29" s="76">
        <f t="shared" si="10"/>
        <v>6000</v>
      </c>
      <c r="J29" s="76">
        <f t="shared" si="10"/>
        <v>6000</v>
      </c>
      <c r="K29" s="76">
        <f t="shared" si="10"/>
        <v>6000</v>
      </c>
      <c r="L29" s="76">
        <f t="shared" si="10"/>
        <v>6000</v>
      </c>
      <c r="M29" s="76">
        <f t="shared" si="10"/>
        <v>6000</v>
      </c>
      <c r="N29" s="76">
        <f t="shared" si="10"/>
        <v>6000</v>
      </c>
      <c r="O29" s="76">
        <f t="shared" si="10"/>
        <v>6000</v>
      </c>
      <c r="P29" s="76">
        <f>SUM(D29:O29)</f>
        <v>72000</v>
      </c>
    </row>
    <row r="30" spans="2:17" ht="22.5" customHeight="1" x14ac:dyDescent="0.25">
      <c r="B30" s="79" t="s">
        <v>131</v>
      </c>
      <c r="C30" s="79" t="s">
        <v>132</v>
      </c>
      <c r="D30" s="199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1"/>
    </row>
    <row r="31" spans="2:17" ht="22.5" customHeight="1" x14ac:dyDescent="0.3">
      <c r="B31" s="80" t="s">
        <v>133</v>
      </c>
      <c r="C31" s="80" t="s">
        <v>134</v>
      </c>
      <c r="D31" s="76">
        <v>6500</v>
      </c>
      <c r="E31" s="76">
        <f>$D$31</f>
        <v>6500</v>
      </c>
      <c r="F31" s="76">
        <f t="shared" ref="F31:O31" si="11">$D$31</f>
        <v>6500</v>
      </c>
      <c r="G31" s="76">
        <f t="shared" si="11"/>
        <v>6500</v>
      </c>
      <c r="H31" s="76">
        <f t="shared" si="11"/>
        <v>6500</v>
      </c>
      <c r="I31" s="76">
        <f t="shared" si="11"/>
        <v>6500</v>
      </c>
      <c r="J31" s="76">
        <f t="shared" si="11"/>
        <v>6500</v>
      </c>
      <c r="K31" s="76">
        <f t="shared" si="11"/>
        <v>6500</v>
      </c>
      <c r="L31" s="76">
        <f t="shared" si="11"/>
        <v>6500</v>
      </c>
      <c r="M31" s="76">
        <f t="shared" si="11"/>
        <v>6500</v>
      </c>
      <c r="N31" s="76">
        <f t="shared" si="11"/>
        <v>6500</v>
      </c>
      <c r="O31" s="76">
        <f t="shared" si="11"/>
        <v>6500</v>
      </c>
      <c r="P31" s="76">
        <f t="shared" si="3"/>
        <v>78000</v>
      </c>
    </row>
    <row r="32" spans="2:17" ht="22.5" customHeight="1" x14ac:dyDescent="0.3">
      <c r="B32" s="80" t="s">
        <v>135</v>
      </c>
      <c r="C32" s="80" t="s">
        <v>163</v>
      </c>
      <c r="D32" s="85">
        <v>3500</v>
      </c>
      <c r="E32" s="76">
        <f>$D$32</f>
        <v>3500</v>
      </c>
      <c r="F32" s="76">
        <f t="shared" ref="F32:O32" si="12">$D$32</f>
        <v>3500</v>
      </c>
      <c r="G32" s="76">
        <f t="shared" si="12"/>
        <v>3500</v>
      </c>
      <c r="H32" s="76">
        <f t="shared" si="12"/>
        <v>3500</v>
      </c>
      <c r="I32" s="76">
        <f t="shared" si="12"/>
        <v>3500</v>
      </c>
      <c r="J32" s="76">
        <f t="shared" si="12"/>
        <v>3500</v>
      </c>
      <c r="K32" s="76">
        <f t="shared" si="12"/>
        <v>3500</v>
      </c>
      <c r="L32" s="76">
        <f t="shared" si="12"/>
        <v>3500</v>
      </c>
      <c r="M32" s="76">
        <f t="shared" si="12"/>
        <v>3500</v>
      </c>
      <c r="N32" s="76">
        <f t="shared" si="12"/>
        <v>3500</v>
      </c>
      <c r="O32" s="76">
        <f t="shared" si="12"/>
        <v>3500</v>
      </c>
      <c r="P32" s="76">
        <f t="shared" si="3"/>
        <v>42000</v>
      </c>
    </row>
    <row r="33" spans="2:17" ht="37.5" customHeight="1" x14ac:dyDescent="0.25">
      <c r="B33" s="79" t="s">
        <v>136</v>
      </c>
      <c r="C33" s="79" t="s">
        <v>137</v>
      </c>
      <c r="D33" s="199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1"/>
    </row>
    <row r="34" spans="2:17" ht="27" x14ac:dyDescent="0.3">
      <c r="B34" s="80" t="s">
        <v>138</v>
      </c>
      <c r="C34" s="80" t="s">
        <v>139</v>
      </c>
      <c r="D34" s="76">
        <v>3000</v>
      </c>
      <c r="E34" s="76">
        <f>$D$34</f>
        <v>3000</v>
      </c>
      <c r="F34" s="76">
        <f t="shared" ref="F34:N34" si="13">$D$34</f>
        <v>3000</v>
      </c>
      <c r="G34" s="76">
        <f t="shared" si="13"/>
        <v>3000</v>
      </c>
      <c r="H34" s="76">
        <f t="shared" si="13"/>
        <v>3000</v>
      </c>
      <c r="I34" s="76">
        <f t="shared" si="13"/>
        <v>3000</v>
      </c>
      <c r="J34" s="76">
        <f t="shared" si="13"/>
        <v>3000</v>
      </c>
      <c r="K34" s="76">
        <f t="shared" si="13"/>
        <v>3000</v>
      </c>
      <c r="L34" s="76">
        <f t="shared" si="13"/>
        <v>3000</v>
      </c>
      <c r="M34" s="76">
        <f t="shared" si="13"/>
        <v>3000</v>
      </c>
      <c r="N34" s="76">
        <f t="shared" si="13"/>
        <v>3000</v>
      </c>
      <c r="O34" s="76">
        <f>$D$34</f>
        <v>3000</v>
      </c>
      <c r="P34" s="76">
        <f>SUM(D34:O34)</f>
        <v>36000</v>
      </c>
    </row>
    <row r="35" spans="2:17" ht="27" x14ac:dyDescent="0.3">
      <c r="B35" s="80" t="s">
        <v>140</v>
      </c>
      <c r="C35" s="80" t="s">
        <v>142</v>
      </c>
      <c r="D35" s="76">
        <v>1500</v>
      </c>
      <c r="E35" s="76">
        <f>$D$35</f>
        <v>1500</v>
      </c>
      <c r="F35" s="76">
        <f>$D$35</f>
        <v>1500</v>
      </c>
      <c r="G35" s="76">
        <f t="shared" ref="G35:O35" si="14">$D$35</f>
        <v>1500</v>
      </c>
      <c r="H35" s="76">
        <f t="shared" si="14"/>
        <v>1500</v>
      </c>
      <c r="I35" s="76">
        <f t="shared" si="14"/>
        <v>1500</v>
      </c>
      <c r="J35" s="76">
        <f t="shared" si="14"/>
        <v>1500</v>
      </c>
      <c r="K35" s="76">
        <f t="shared" si="14"/>
        <v>1500</v>
      </c>
      <c r="L35" s="76">
        <f t="shared" si="14"/>
        <v>1500</v>
      </c>
      <c r="M35" s="76">
        <f t="shared" si="14"/>
        <v>1500</v>
      </c>
      <c r="N35" s="76">
        <f t="shared" si="14"/>
        <v>1500</v>
      </c>
      <c r="O35" s="76">
        <f t="shared" si="14"/>
        <v>1500</v>
      </c>
      <c r="P35" s="76">
        <f t="shared" si="3"/>
        <v>18000</v>
      </c>
    </row>
    <row r="36" spans="2:17" ht="27" x14ac:dyDescent="0.3">
      <c r="B36" s="80" t="s">
        <v>141</v>
      </c>
      <c r="C36" s="80" t="s">
        <v>144</v>
      </c>
      <c r="D36" s="76">
        <v>2000</v>
      </c>
      <c r="E36" s="76">
        <f>$D$36</f>
        <v>2000</v>
      </c>
      <c r="F36" s="76">
        <f>$D$36</f>
        <v>2000</v>
      </c>
      <c r="G36" s="76">
        <f t="shared" ref="G36:O36" si="15">$D$36</f>
        <v>2000</v>
      </c>
      <c r="H36" s="76">
        <f t="shared" si="15"/>
        <v>2000</v>
      </c>
      <c r="I36" s="76">
        <f t="shared" si="15"/>
        <v>2000</v>
      </c>
      <c r="J36" s="76">
        <f t="shared" si="15"/>
        <v>2000</v>
      </c>
      <c r="K36" s="76">
        <f t="shared" si="15"/>
        <v>2000</v>
      </c>
      <c r="L36" s="76">
        <f t="shared" si="15"/>
        <v>2000</v>
      </c>
      <c r="M36" s="76">
        <f t="shared" si="15"/>
        <v>2000</v>
      </c>
      <c r="N36" s="76">
        <f t="shared" si="15"/>
        <v>2000</v>
      </c>
      <c r="O36" s="76">
        <f t="shared" si="15"/>
        <v>2000</v>
      </c>
      <c r="P36" s="76">
        <f t="shared" si="3"/>
        <v>24000</v>
      </c>
    </row>
    <row r="37" spans="2:17" ht="27" x14ac:dyDescent="0.3">
      <c r="B37" s="80" t="s">
        <v>143</v>
      </c>
      <c r="C37" s="80" t="s">
        <v>164</v>
      </c>
      <c r="D37" s="76">
        <v>2000</v>
      </c>
      <c r="E37" s="76">
        <f>$D$37</f>
        <v>2000</v>
      </c>
      <c r="F37" s="76">
        <f t="shared" ref="F37:O37" si="16">$D$37</f>
        <v>2000</v>
      </c>
      <c r="G37" s="76">
        <f t="shared" si="16"/>
        <v>2000</v>
      </c>
      <c r="H37" s="76">
        <f t="shared" si="16"/>
        <v>2000</v>
      </c>
      <c r="I37" s="76">
        <f t="shared" si="16"/>
        <v>2000</v>
      </c>
      <c r="J37" s="76">
        <f t="shared" si="16"/>
        <v>2000</v>
      </c>
      <c r="K37" s="76">
        <f t="shared" si="16"/>
        <v>2000</v>
      </c>
      <c r="L37" s="76">
        <f t="shared" si="16"/>
        <v>2000</v>
      </c>
      <c r="M37" s="76">
        <f t="shared" si="16"/>
        <v>2000</v>
      </c>
      <c r="N37" s="76">
        <f t="shared" si="16"/>
        <v>2000</v>
      </c>
      <c r="O37" s="76">
        <f t="shared" si="16"/>
        <v>2000</v>
      </c>
      <c r="P37" s="76">
        <f t="shared" si="3"/>
        <v>24000</v>
      </c>
    </row>
    <row r="38" spans="2:17" ht="27" x14ac:dyDescent="0.3">
      <c r="B38" s="80" t="s">
        <v>145</v>
      </c>
      <c r="C38" s="80" t="s">
        <v>178</v>
      </c>
      <c r="D38" s="76">
        <v>10000</v>
      </c>
      <c r="E38" s="76">
        <f>$D$38</f>
        <v>10000</v>
      </c>
      <c r="F38" s="76">
        <f t="shared" ref="F38:O38" si="17">$D$38</f>
        <v>10000</v>
      </c>
      <c r="G38" s="76">
        <f t="shared" si="17"/>
        <v>10000</v>
      </c>
      <c r="H38" s="76">
        <f t="shared" si="17"/>
        <v>10000</v>
      </c>
      <c r="I38" s="76">
        <f t="shared" si="17"/>
        <v>10000</v>
      </c>
      <c r="J38" s="76">
        <f t="shared" si="17"/>
        <v>10000</v>
      </c>
      <c r="K38" s="76">
        <f t="shared" si="17"/>
        <v>10000</v>
      </c>
      <c r="L38" s="76">
        <f t="shared" si="17"/>
        <v>10000</v>
      </c>
      <c r="M38" s="76">
        <f t="shared" si="17"/>
        <v>10000</v>
      </c>
      <c r="N38" s="76">
        <f t="shared" si="17"/>
        <v>10000</v>
      </c>
      <c r="O38" s="76">
        <f t="shared" si="17"/>
        <v>10000</v>
      </c>
      <c r="P38" s="76">
        <f t="shared" si="3"/>
        <v>120000</v>
      </c>
    </row>
    <row r="39" spans="2:17" s="150" customFormat="1" ht="54" x14ac:dyDescent="0.2">
      <c r="B39" s="80" t="s">
        <v>146</v>
      </c>
      <c r="C39" s="80" t="s">
        <v>183</v>
      </c>
      <c r="D39" s="149">
        <v>10946.74</v>
      </c>
      <c r="E39" s="149">
        <f>$D$39</f>
        <v>10946.74</v>
      </c>
      <c r="F39" s="149">
        <f t="shared" ref="F39:O39" si="18">$D$39</f>
        <v>10946.74</v>
      </c>
      <c r="G39" s="149">
        <f t="shared" si="18"/>
        <v>10946.74</v>
      </c>
      <c r="H39" s="149">
        <f t="shared" si="18"/>
        <v>10946.74</v>
      </c>
      <c r="I39" s="149">
        <f t="shared" si="18"/>
        <v>10946.74</v>
      </c>
      <c r="J39" s="149">
        <f t="shared" si="18"/>
        <v>10946.74</v>
      </c>
      <c r="K39" s="149">
        <f t="shared" si="18"/>
        <v>10946.74</v>
      </c>
      <c r="L39" s="149">
        <f t="shared" si="18"/>
        <v>10946.74</v>
      </c>
      <c r="M39" s="149">
        <f t="shared" si="18"/>
        <v>10946.74</v>
      </c>
      <c r="N39" s="149">
        <f t="shared" si="18"/>
        <v>10946.74</v>
      </c>
      <c r="O39" s="149">
        <f t="shared" si="18"/>
        <v>10946.74</v>
      </c>
      <c r="P39" s="149">
        <f t="shared" ref="P39" si="19">SUM(D39:O39)</f>
        <v>131360.88000000003</v>
      </c>
      <c r="Q39" s="151"/>
    </row>
    <row r="40" spans="2:17" ht="27" x14ac:dyDescent="0.25">
      <c r="B40" s="79" t="s">
        <v>147</v>
      </c>
      <c r="C40" s="79" t="s">
        <v>179</v>
      </c>
      <c r="D40" s="199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1"/>
    </row>
    <row r="41" spans="2:17" ht="27" x14ac:dyDescent="0.3">
      <c r="B41" s="80" t="s">
        <v>148</v>
      </c>
      <c r="C41" s="80" t="s">
        <v>182</v>
      </c>
      <c r="D41" s="76">
        <v>0</v>
      </c>
      <c r="E41" s="76">
        <v>0</v>
      </c>
      <c r="F41" s="76">
        <v>0</v>
      </c>
      <c r="G41" s="76">
        <v>0</v>
      </c>
      <c r="H41" s="76">
        <v>41085.910000000003</v>
      </c>
      <c r="I41" s="76">
        <v>0</v>
      </c>
      <c r="J41" s="76">
        <v>0</v>
      </c>
      <c r="K41" s="76">
        <v>0</v>
      </c>
      <c r="L41" s="76">
        <v>0</v>
      </c>
      <c r="M41" s="76">
        <v>41085.910000000003</v>
      </c>
      <c r="N41" s="76">
        <v>0</v>
      </c>
      <c r="O41" s="76">
        <v>0</v>
      </c>
      <c r="P41" s="149">
        <f t="shared" ref="P41" si="20">SUM(D41:O41)</f>
        <v>82171.820000000007</v>
      </c>
    </row>
    <row r="42" spans="2:17" ht="27" x14ac:dyDescent="0.3">
      <c r="B42" s="80" t="s">
        <v>180</v>
      </c>
      <c r="C42" s="80" t="s">
        <v>181</v>
      </c>
      <c r="D42" s="76"/>
      <c r="E42" s="76"/>
      <c r="F42" s="76"/>
      <c r="G42" s="76"/>
      <c r="H42" s="76">
        <v>164343.64000000001</v>
      </c>
      <c r="I42" s="76"/>
      <c r="J42" s="76"/>
      <c r="K42" s="76"/>
      <c r="L42" s="76"/>
      <c r="M42" s="76">
        <v>164343.64000000001</v>
      </c>
      <c r="N42" s="76"/>
      <c r="O42" s="76"/>
      <c r="P42" s="149"/>
    </row>
    <row r="43" spans="2:17" ht="37.5" customHeight="1" x14ac:dyDescent="0.25">
      <c r="B43" s="226" t="s">
        <v>149</v>
      </c>
      <c r="C43" s="226"/>
      <c r="D43" s="83">
        <f t="shared" ref="D43:O43" si="21">SUM(D20:D23)</f>
        <v>328702.36450528004</v>
      </c>
      <c r="E43" s="83">
        <f t="shared" si="21"/>
        <v>328702.36450528004</v>
      </c>
      <c r="F43" s="83">
        <f t="shared" si="21"/>
        <v>328702.36450528004</v>
      </c>
      <c r="G43" s="83">
        <f t="shared" si="21"/>
        <v>328702.36450528004</v>
      </c>
      <c r="H43" s="83">
        <f t="shared" si="21"/>
        <v>328702.36450528004</v>
      </c>
      <c r="I43" s="83">
        <f t="shared" si="21"/>
        <v>328702.36450528004</v>
      </c>
      <c r="J43" s="83">
        <f t="shared" si="21"/>
        <v>328702.36450528004</v>
      </c>
      <c r="K43" s="83">
        <f t="shared" si="21"/>
        <v>328702.36450528004</v>
      </c>
      <c r="L43" s="83">
        <f t="shared" si="21"/>
        <v>328702.36450528004</v>
      </c>
      <c r="M43" s="83">
        <f t="shared" si="21"/>
        <v>328702.36450528004</v>
      </c>
      <c r="N43" s="83">
        <f t="shared" si="21"/>
        <v>328702.36450528004</v>
      </c>
      <c r="O43" s="83">
        <f t="shared" si="21"/>
        <v>328702.36450528004</v>
      </c>
      <c r="P43" s="83">
        <f>SUM(D43:O43)</f>
        <v>3944428.3740633596</v>
      </c>
    </row>
    <row r="44" spans="2:17" ht="19.5" customHeight="1" x14ac:dyDescent="0.3">
      <c r="B44" s="77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7" ht="37.5" customHeight="1" x14ac:dyDescent="0.25">
      <c r="B45" s="224" t="s">
        <v>150</v>
      </c>
      <c r="C45" s="225"/>
      <c r="D45" s="83">
        <f>SUM(D26,D27,D28,D29,D31,D32,D34,D35,D36,D37,D38,D39,D41,D42)</f>
        <v>86446.74</v>
      </c>
      <c r="E45" s="83">
        <f t="shared" ref="E45:O45" si="22">SUM(E26,E27,E28,E29,E31,E32,E34,E35,E36,E37,E38,E39,E41,E42)</f>
        <v>86446.74</v>
      </c>
      <c r="F45" s="83">
        <f t="shared" si="22"/>
        <v>86446.74</v>
      </c>
      <c r="G45" s="83">
        <f t="shared" si="22"/>
        <v>86446.74</v>
      </c>
      <c r="H45" s="83">
        <f t="shared" si="22"/>
        <v>291876.29000000004</v>
      </c>
      <c r="I45" s="83">
        <f t="shared" si="22"/>
        <v>86446.74</v>
      </c>
      <c r="J45" s="83">
        <f t="shared" si="22"/>
        <v>86446.74</v>
      </c>
      <c r="K45" s="83">
        <f t="shared" si="22"/>
        <v>86446.74</v>
      </c>
      <c r="L45" s="83">
        <f t="shared" si="22"/>
        <v>86446.74</v>
      </c>
      <c r="M45" s="83">
        <f t="shared" si="22"/>
        <v>291876.29000000004</v>
      </c>
      <c r="N45" s="83">
        <f t="shared" si="22"/>
        <v>86446.74</v>
      </c>
      <c r="O45" s="83">
        <f t="shared" si="22"/>
        <v>86446.74</v>
      </c>
      <c r="P45" s="83">
        <f>SUM(D45:O45)</f>
        <v>1448219.98</v>
      </c>
    </row>
    <row r="46" spans="2:17" ht="19.5" customHeight="1" x14ac:dyDescent="0.3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</row>
    <row r="47" spans="2:17" ht="48.75" customHeight="1" x14ac:dyDescent="0.25">
      <c r="B47" s="224" t="s">
        <v>151</v>
      </c>
      <c r="C47" s="225"/>
      <c r="D47" s="84">
        <f>SUM(D43+D45)</f>
        <v>415149.10450528003</v>
      </c>
      <c r="E47" s="84">
        <f t="shared" ref="E47:O47" si="23">SUM(E43+E45)</f>
        <v>415149.10450528003</v>
      </c>
      <c r="F47" s="84">
        <f t="shared" si="23"/>
        <v>415149.10450528003</v>
      </c>
      <c r="G47" s="84">
        <f t="shared" si="23"/>
        <v>415149.10450528003</v>
      </c>
      <c r="H47" s="84">
        <f t="shared" si="23"/>
        <v>620578.65450528008</v>
      </c>
      <c r="I47" s="84">
        <f t="shared" si="23"/>
        <v>415149.10450528003</v>
      </c>
      <c r="J47" s="84">
        <f t="shared" si="23"/>
        <v>415149.10450528003</v>
      </c>
      <c r="K47" s="84">
        <f t="shared" si="23"/>
        <v>415149.10450528003</v>
      </c>
      <c r="L47" s="84">
        <f t="shared" si="23"/>
        <v>415149.10450528003</v>
      </c>
      <c r="M47" s="84">
        <f t="shared" si="23"/>
        <v>620578.65450528008</v>
      </c>
      <c r="N47" s="84">
        <f t="shared" si="23"/>
        <v>415149.10450528003</v>
      </c>
      <c r="O47" s="84">
        <f t="shared" si="23"/>
        <v>415149.10450528003</v>
      </c>
      <c r="P47" s="83">
        <f>SUM(D47:O47)</f>
        <v>5392648.35406336</v>
      </c>
    </row>
    <row r="48" spans="2:17" ht="19.5" customHeight="1" x14ac:dyDescent="0.3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</row>
    <row r="49" spans="2:16" ht="46.5" customHeight="1" x14ac:dyDescent="0.25">
      <c r="B49" s="224" t="s">
        <v>152</v>
      </c>
      <c r="C49" s="225"/>
      <c r="D49" s="84">
        <f t="shared" ref="D49:P49" si="24">D14-D47</f>
        <v>-4290.0045052799978</v>
      </c>
      <c r="E49" s="84">
        <f t="shared" si="24"/>
        <v>-4290.0045052799978</v>
      </c>
      <c r="F49" s="84">
        <f t="shared" si="24"/>
        <v>-4290.0045052799978</v>
      </c>
      <c r="G49" s="84">
        <f t="shared" si="24"/>
        <v>-4290.0045052799978</v>
      </c>
      <c r="H49" s="84">
        <f t="shared" si="24"/>
        <v>-4290.004505280056</v>
      </c>
      <c r="I49" s="84">
        <f t="shared" si="24"/>
        <v>-4290.0045052799978</v>
      </c>
      <c r="J49" s="84">
        <f t="shared" si="24"/>
        <v>-4290.0045052799978</v>
      </c>
      <c r="K49" s="84">
        <f t="shared" si="24"/>
        <v>-4290.0045052799978</v>
      </c>
      <c r="L49" s="84">
        <f t="shared" si="24"/>
        <v>-4290.0045052799978</v>
      </c>
      <c r="M49" s="84">
        <f t="shared" si="24"/>
        <v>-4290.004505280056</v>
      </c>
      <c r="N49" s="84">
        <f t="shared" si="24"/>
        <v>-4290.0045052799978</v>
      </c>
      <c r="O49" s="84">
        <f t="shared" si="24"/>
        <v>-4290.0045052799978</v>
      </c>
      <c r="P49" s="84">
        <f t="shared" si="24"/>
        <v>-51480.054063360207</v>
      </c>
    </row>
    <row r="50" spans="2:16" ht="19.5" customHeight="1" x14ac:dyDescent="0.3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</row>
    <row r="51" spans="2:16" ht="27.75" customHeight="1" x14ac:dyDescent="0.25">
      <c r="B51" s="220" t="s">
        <v>153</v>
      </c>
      <c r="C51" s="221"/>
      <c r="D51" s="207" t="s">
        <v>154</v>
      </c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9"/>
    </row>
    <row r="52" spans="2:16" ht="38.25" customHeight="1" x14ac:dyDescent="0.25">
      <c r="B52" s="222"/>
      <c r="C52" s="223"/>
      <c r="D52" s="210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2"/>
    </row>
    <row r="53" spans="2:16" ht="29.25" customHeight="1" x14ac:dyDescent="0.25">
      <c r="B53" s="220" t="s">
        <v>155</v>
      </c>
      <c r="C53" s="221"/>
      <c r="D53" s="213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5"/>
    </row>
    <row r="54" spans="2:16" ht="48.75" customHeight="1" x14ac:dyDescent="0.25">
      <c r="B54" s="222"/>
      <c r="C54" s="223"/>
      <c r="D54" s="216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8"/>
    </row>
    <row r="55" spans="2:16" ht="20.25" customHeight="1" x14ac:dyDescent="0.25">
      <c r="B55" s="206" t="s">
        <v>156</v>
      </c>
      <c r="C55" s="206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</row>
    <row r="56" spans="2:16" ht="20.25" customHeight="1" x14ac:dyDescent="0.25">
      <c r="B56" s="206"/>
      <c r="C56" s="206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</row>
  </sheetData>
  <mergeCells count="26">
    <mergeCell ref="B10:P10"/>
    <mergeCell ref="B13:P13"/>
    <mergeCell ref="B24:C24"/>
    <mergeCell ref="D24:P24"/>
    <mergeCell ref="B11:C11"/>
    <mergeCell ref="D18:P18"/>
    <mergeCell ref="D19:P19"/>
    <mergeCell ref="B16:C16"/>
    <mergeCell ref="B15:C15"/>
    <mergeCell ref="B18:C18"/>
    <mergeCell ref="D40:P40"/>
    <mergeCell ref="B1:C3"/>
    <mergeCell ref="D25:P25"/>
    <mergeCell ref="D30:P30"/>
    <mergeCell ref="B55:C56"/>
    <mergeCell ref="D51:P52"/>
    <mergeCell ref="D53:P54"/>
    <mergeCell ref="D55:P56"/>
    <mergeCell ref="B53:C54"/>
    <mergeCell ref="B51:C52"/>
    <mergeCell ref="B49:C49"/>
    <mergeCell ref="B43:C43"/>
    <mergeCell ref="B45:C45"/>
    <mergeCell ref="B47:C47"/>
    <mergeCell ref="D33:P33"/>
    <mergeCell ref="B14:C14"/>
  </mergeCells>
  <phoneticPr fontId="4" type="noConversion"/>
  <pageMargins left="0.11811023622047245" right="0.11811023622047245" top="0.15748031496062992" bottom="0.15748031496062992" header="0.31496062992125984" footer="0.31496062992125984"/>
  <pageSetup paperSize="9" scale="35" orientation="landscape" r:id="rId1"/>
  <ignoredErrors>
    <ignoredError sqref="E3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F442A-8185-4D2D-88F0-1B1F534A545F}">
  <dimension ref="B1:N17"/>
  <sheetViews>
    <sheetView showGridLines="0" workbookViewId="0">
      <selection activeCell="G35" sqref="G35"/>
    </sheetView>
  </sheetViews>
  <sheetFormatPr baseColWidth="10" defaultColWidth="8.83203125" defaultRowHeight="15" x14ac:dyDescent="0.2"/>
  <cols>
    <col min="2" max="2" width="2.83203125" bestFit="1" customWidth="1"/>
    <col min="3" max="3" width="30.33203125" customWidth="1"/>
    <col min="13" max="13" width="6.1640625" bestFit="1" customWidth="1"/>
  </cols>
  <sheetData>
    <row r="1" spans="2:14" ht="16" thickBot="1" x14ac:dyDescent="0.25"/>
    <row r="2" spans="2:14" ht="69.5" customHeight="1" thickBot="1" x14ac:dyDescent="0.25">
      <c r="B2" s="125" t="s">
        <v>170</v>
      </c>
      <c r="C2" s="103" t="s">
        <v>157</v>
      </c>
      <c r="D2" s="104" t="s">
        <v>158</v>
      </c>
      <c r="E2" s="104" t="s">
        <v>159</v>
      </c>
      <c r="F2" s="104" t="s">
        <v>167</v>
      </c>
      <c r="G2" s="104" t="s">
        <v>168</v>
      </c>
      <c r="H2" s="104" t="s">
        <v>169</v>
      </c>
      <c r="I2" s="104" t="s">
        <v>166</v>
      </c>
      <c r="J2" s="104" t="s">
        <v>45</v>
      </c>
      <c r="K2" s="104" t="s">
        <v>160</v>
      </c>
      <c r="L2" s="104" t="s">
        <v>44</v>
      </c>
      <c r="M2" s="104" t="s">
        <v>161</v>
      </c>
      <c r="N2" s="105" t="s">
        <v>162</v>
      </c>
    </row>
    <row r="3" spans="2:14" x14ac:dyDescent="0.2">
      <c r="B3" s="126">
        <f>VPTA!C14</f>
        <v>1</v>
      </c>
      <c r="C3" s="107" t="str">
        <f>VPTA!A14</f>
        <v>DIRETOR</v>
      </c>
      <c r="D3" s="108">
        <v>44</v>
      </c>
      <c r="E3" s="119">
        <f>VPTA!E14</f>
        <v>5262.51</v>
      </c>
      <c r="F3" s="119">
        <f>E3*26.5%</f>
        <v>1394.5651500000001</v>
      </c>
      <c r="G3" s="119">
        <f>E3*8%</f>
        <v>421.00080000000003</v>
      </c>
      <c r="H3" s="119">
        <f>E3*1%</f>
        <v>52.625100000000003</v>
      </c>
      <c r="I3" s="119">
        <f>E3*21.57%</f>
        <v>1135.123407</v>
      </c>
      <c r="J3" s="119">
        <f>VPTA!K14</f>
        <v>242</v>
      </c>
      <c r="K3" s="119">
        <f>VPTA!I14</f>
        <v>170</v>
      </c>
      <c r="L3" s="119">
        <f>VPTA!J14</f>
        <v>550</v>
      </c>
      <c r="M3" s="119">
        <f>VPTA!L14</f>
        <v>14.2</v>
      </c>
      <c r="N3" s="109">
        <f>SUM(E3:M3)</f>
        <v>9242.0244570000013</v>
      </c>
    </row>
    <row r="4" spans="2:14" x14ac:dyDescent="0.2">
      <c r="B4" s="127">
        <f>VPTA!C15</f>
        <v>1</v>
      </c>
      <c r="C4" s="110" t="str">
        <f>VPTA!A15</f>
        <v>COORDENADOR PEDAGÓGICO</v>
      </c>
      <c r="D4" s="106">
        <v>44</v>
      </c>
      <c r="E4" s="120">
        <f>VPTA!E15</f>
        <v>3837.25</v>
      </c>
      <c r="F4" s="120">
        <f>E4*26.5%</f>
        <v>1016.87125</v>
      </c>
      <c r="G4" s="120">
        <f>E4*8%</f>
        <v>306.98</v>
      </c>
      <c r="H4" s="120">
        <f>E4*1%</f>
        <v>38.372500000000002</v>
      </c>
      <c r="I4" s="120">
        <f>E4*21.57%</f>
        <v>827.69482500000004</v>
      </c>
      <c r="J4" s="120">
        <f>VPTA!K15</f>
        <v>242</v>
      </c>
      <c r="K4" s="120">
        <f>VPTA!I15</f>
        <v>170</v>
      </c>
      <c r="L4" s="120">
        <f>VPTA!J15</f>
        <v>550</v>
      </c>
      <c r="M4" s="120">
        <f>VPTA!L15</f>
        <v>14.2</v>
      </c>
      <c r="N4" s="111">
        <f>SUM(E4:M4)</f>
        <v>7003.3685749999995</v>
      </c>
    </row>
    <row r="5" spans="2:14" x14ac:dyDescent="0.2">
      <c r="B5" s="127">
        <f>VPTA!C16</f>
        <v>47</v>
      </c>
      <c r="C5" s="110" t="str">
        <f>VPTA!A16</f>
        <v>PROFESSOR DE EDUCAÇÃO INFANTIL</v>
      </c>
      <c r="D5" s="106">
        <v>44</v>
      </c>
      <c r="E5" s="120">
        <f>VPTA!E16</f>
        <v>111108</v>
      </c>
      <c r="F5" s="120">
        <f t="shared" ref="F5:F15" si="0">E5*26.5%</f>
        <v>29443.620000000003</v>
      </c>
      <c r="G5" s="120">
        <f t="shared" ref="G5:G15" si="1">E5*8%</f>
        <v>8888.64</v>
      </c>
      <c r="H5" s="120">
        <f t="shared" ref="H5:H15" si="2">E5*1%</f>
        <v>1111.08</v>
      </c>
      <c r="I5" s="120">
        <f t="shared" ref="I5:I15" si="3">E5*21.57%</f>
        <v>23965.995600000002</v>
      </c>
      <c r="J5" s="120">
        <f>VPTA!K16</f>
        <v>9877.52</v>
      </c>
      <c r="K5" s="120">
        <f>VPTA!I16</f>
        <v>7990</v>
      </c>
      <c r="L5" s="120">
        <f>VPTA!J16</f>
        <v>25850</v>
      </c>
      <c r="M5" s="120">
        <f t="shared" ref="M5:M15" si="4">14.2*B5</f>
        <v>667.4</v>
      </c>
      <c r="N5" s="111">
        <f>SUM(E5:M5)</f>
        <v>218902.25559999997</v>
      </c>
    </row>
    <row r="6" spans="2:14" x14ac:dyDescent="0.2">
      <c r="B6" s="127">
        <f>VPTA!C17</f>
        <v>7</v>
      </c>
      <c r="C6" s="110" t="str">
        <f>VPTA!A17</f>
        <v>PROFESSOR DE EDUCAÇÃO VOLANTE</v>
      </c>
      <c r="D6" s="106">
        <v>44</v>
      </c>
      <c r="E6" s="120">
        <f>VPTA!E17</f>
        <v>16548</v>
      </c>
      <c r="F6" s="120">
        <f t="shared" si="0"/>
        <v>4385.22</v>
      </c>
      <c r="G6" s="120">
        <f t="shared" si="1"/>
        <v>1323.84</v>
      </c>
      <c r="H6" s="120">
        <f t="shared" si="2"/>
        <v>165.48</v>
      </c>
      <c r="I6" s="120">
        <f t="shared" si="3"/>
        <v>3569.4036000000001</v>
      </c>
      <c r="J6" s="120">
        <f>VPTA!K17</f>
        <v>1471.12</v>
      </c>
      <c r="K6" s="120">
        <f>VPTA!I17</f>
        <v>1190</v>
      </c>
      <c r="L6" s="120">
        <f>VPTA!J17</f>
        <v>3850</v>
      </c>
      <c r="M6" s="120">
        <f t="shared" si="4"/>
        <v>99.399999999999991</v>
      </c>
      <c r="N6" s="111">
        <f t="shared" ref="N6:N15" si="5">SUM(E6:M6)</f>
        <v>32602.463600000003</v>
      </c>
    </row>
    <row r="7" spans="2:14" x14ac:dyDescent="0.2">
      <c r="B7" s="127">
        <f>VPTA!C18</f>
        <v>2</v>
      </c>
      <c r="C7" s="110" t="str">
        <f>VPTA!A18</f>
        <v>AUXILIAR DE BERÇÁRIO</v>
      </c>
      <c r="D7" s="106">
        <v>44</v>
      </c>
      <c r="E7" s="120">
        <f>VPTA!E18</f>
        <v>3051.2</v>
      </c>
      <c r="F7" s="120">
        <f t="shared" ref="F7" si="6">E7*26.5%</f>
        <v>808.56799999999998</v>
      </c>
      <c r="G7" s="120">
        <f t="shared" ref="G7" si="7">E7*8%</f>
        <v>244.096</v>
      </c>
      <c r="H7" s="120">
        <f t="shared" ref="H7" si="8">E7*1%</f>
        <v>30.512</v>
      </c>
      <c r="I7" s="120">
        <f t="shared" ref="I7" si="9">E7*21.57%</f>
        <v>658.14383999999995</v>
      </c>
      <c r="J7" s="120">
        <f>VPTA!K18</f>
        <v>520.928</v>
      </c>
      <c r="K7" s="120">
        <f>VPTA!I18</f>
        <v>340</v>
      </c>
      <c r="L7" s="120">
        <f>VPTA!J18</f>
        <v>1100</v>
      </c>
      <c r="M7" s="120">
        <f t="shared" si="4"/>
        <v>28.4</v>
      </c>
      <c r="N7" s="111">
        <f t="shared" si="5"/>
        <v>6781.8478399999985</v>
      </c>
    </row>
    <row r="8" spans="2:14" x14ac:dyDescent="0.2">
      <c r="B8" s="127">
        <f>VPTA!C19</f>
        <v>4</v>
      </c>
      <c r="C8" s="110" t="str">
        <f>VPTA!A19</f>
        <v>VIGIA</v>
      </c>
      <c r="D8" s="106" t="s">
        <v>172</v>
      </c>
      <c r="E8" s="120">
        <f>VPTA!E19</f>
        <v>6494.8332</v>
      </c>
      <c r="F8" s="120">
        <f t="shared" si="0"/>
        <v>1721.1307980000001</v>
      </c>
      <c r="G8" s="120">
        <f t="shared" si="1"/>
        <v>519.58665600000006</v>
      </c>
      <c r="H8" s="120">
        <f t="shared" si="2"/>
        <v>64.948332000000008</v>
      </c>
      <c r="I8" s="120">
        <f t="shared" si="3"/>
        <v>1400.9355212400001</v>
      </c>
      <c r="J8" s="120">
        <f>VPTA!K19</f>
        <v>1018.310008</v>
      </c>
      <c r="K8" s="120">
        <f>VPTA!I19</f>
        <v>680</v>
      </c>
      <c r="L8" s="120">
        <f>VPTA!J19</f>
        <v>2200</v>
      </c>
      <c r="M8" s="120">
        <f t="shared" si="4"/>
        <v>56.8</v>
      </c>
      <c r="N8" s="111">
        <f t="shared" si="5"/>
        <v>14156.544515239999</v>
      </c>
    </row>
    <row r="9" spans="2:14" x14ac:dyDescent="0.2">
      <c r="B9" s="127">
        <f>VPTA!C20</f>
        <v>1</v>
      </c>
      <c r="C9" s="110" t="str">
        <f>VPTA!A20</f>
        <v>AUXILIAR DE MANUTENÇÃO</v>
      </c>
      <c r="D9" s="106">
        <v>44</v>
      </c>
      <c r="E9" s="120">
        <f>VPTA!E20</f>
        <v>1480.0806</v>
      </c>
      <c r="F9" s="120">
        <f t="shared" si="0"/>
        <v>392.22135900000001</v>
      </c>
      <c r="G9" s="120">
        <f t="shared" si="1"/>
        <v>118.406448</v>
      </c>
      <c r="H9" s="120">
        <f t="shared" si="2"/>
        <v>14.800806</v>
      </c>
      <c r="I9" s="120">
        <f t="shared" si="3"/>
        <v>319.25338542000003</v>
      </c>
      <c r="J9" s="120">
        <f>VPTA!K20</f>
        <v>263.19516399999998</v>
      </c>
      <c r="K9" s="120">
        <f>VPTA!I20</f>
        <v>170</v>
      </c>
      <c r="L9" s="120">
        <f>VPTA!J20</f>
        <v>550</v>
      </c>
      <c r="M9" s="120">
        <f t="shared" si="4"/>
        <v>14.2</v>
      </c>
      <c r="N9" s="111">
        <f t="shared" si="5"/>
        <v>3322.1577624199999</v>
      </c>
    </row>
    <row r="10" spans="2:14" x14ac:dyDescent="0.2">
      <c r="B10" s="127">
        <f>VPTA!C21</f>
        <v>1</v>
      </c>
      <c r="C10" s="110" t="str">
        <f>VPTA!A21</f>
        <v>AUXILIAR DE DIRETOR</v>
      </c>
      <c r="D10" s="106">
        <v>44</v>
      </c>
      <c r="E10" s="120">
        <f>VPTA!E21</f>
        <v>2110</v>
      </c>
      <c r="F10" s="120">
        <f t="shared" ref="F10" si="10">E10*26.5%</f>
        <v>559.15</v>
      </c>
      <c r="G10" s="120">
        <f t="shared" ref="G10" si="11">E10*8%</f>
        <v>168.8</v>
      </c>
      <c r="H10" s="120">
        <f t="shared" ref="H10" si="12">E10*1%</f>
        <v>21.1</v>
      </c>
      <c r="I10" s="120">
        <f t="shared" ref="I10" si="13">E10*21.57%</f>
        <v>455.12700000000001</v>
      </c>
      <c r="J10" s="120">
        <f>VPTA!K21</f>
        <v>225.4</v>
      </c>
      <c r="K10" s="120">
        <f>VPTA!I21</f>
        <v>170</v>
      </c>
      <c r="L10" s="120">
        <f>VPTA!J21</f>
        <v>550</v>
      </c>
      <c r="M10" s="120">
        <f t="shared" si="4"/>
        <v>14.2</v>
      </c>
      <c r="N10" s="111">
        <f t="shared" si="5"/>
        <v>4273.777</v>
      </c>
    </row>
    <row r="11" spans="2:14" x14ac:dyDescent="0.2">
      <c r="B11" s="127">
        <f>VPTA!C22</f>
        <v>1</v>
      </c>
      <c r="C11" s="110" t="str">
        <f>VPTA!A22</f>
        <v>COZINHEIRA</v>
      </c>
      <c r="D11" s="106">
        <v>44</v>
      </c>
      <c r="E11" s="120">
        <f>VPTA!E22</f>
        <v>1863.8052</v>
      </c>
      <c r="F11" s="120">
        <f t="shared" si="0"/>
        <v>493.90837800000003</v>
      </c>
      <c r="G11" s="120">
        <f t="shared" si="1"/>
        <v>149.10441600000001</v>
      </c>
      <c r="H11" s="120">
        <f t="shared" si="2"/>
        <v>18.638052000000002</v>
      </c>
      <c r="I11" s="120">
        <f t="shared" si="3"/>
        <v>402.02278164000001</v>
      </c>
      <c r="J11" s="120">
        <f>VPTA!K22</f>
        <v>240.17168800000002</v>
      </c>
      <c r="K11" s="120">
        <f>VPTA!I22</f>
        <v>170</v>
      </c>
      <c r="L11" s="120">
        <f>VPTA!J22</f>
        <v>550</v>
      </c>
      <c r="M11" s="120">
        <f t="shared" si="4"/>
        <v>14.2</v>
      </c>
      <c r="N11" s="111">
        <f t="shared" si="5"/>
        <v>3901.8505156399997</v>
      </c>
    </row>
    <row r="12" spans="2:14" x14ac:dyDescent="0.2">
      <c r="B12" s="127">
        <f>VPTA!C23</f>
        <v>5</v>
      </c>
      <c r="C12" s="110" t="str">
        <f>VPTA!A23</f>
        <v>AUXILIAR DE COZINHA</v>
      </c>
      <c r="D12" s="106">
        <v>44</v>
      </c>
      <c r="E12" s="120">
        <f>VPTA!E23</f>
        <v>7981.4969999999994</v>
      </c>
      <c r="F12" s="120">
        <f t="shared" si="0"/>
        <v>2115.0967049999999</v>
      </c>
      <c r="G12" s="120">
        <f t="shared" si="1"/>
        <v>638.51976000000002</v>
      </c>
      <c r="H12" s="120">
        <f t="shared" si="2"/>
        <v>79.814970000000002</v>
      </c>
      <c r="I12" s="120">
        <f t="shared" si="3"/>
        <v>1721.6089029</v>
      </c>
      <c r="J12" s="120">
        <f>VPTA!K23</f>
        <v>1281.1101800000001</v>
      </c>
      <c r="K12" s="120">
        <f>VPTA!I23</f>
        <v>850</v>
      </c>
      <c r="L12" s="120">
        <f>VPTA!J23</f>
        <v>2750</v>
      </c>
      <c r="M12" s="120">
        <f t="shared" si="4"/>
        <v>71</v>
      </c>
      <c r="N12" s="111">
        <f t="shared" si="5"/>
        <v>17488.647517899997</v>
      </c>
    </row>
    <row r="13" spans="2:14" x14ac:dyDescent="0.2">
      <c r="B13" s="127">
        <f>VPTA!C24</f>
        <v>1</v>
      </c>
      <c r="C13" s="110" t="str">
        <f>VPTA!A24</f>
        <v>ASSISTENTE ADMINISTRATIVO</v>
      </c>
      <c r="D13" s="106">
        <v>44</v>
      </c>
      <c r="E13" s="120">
        <f>VPTA!E24</f>
        <v>2192.712</v>
      </c>
      <c r="F13" s="120">
        <f t="shared" si="0"/>
        <v>581.06867999999997</v>
      </c>
      <c r="G13" s="120">
        <f t="shared" si="1"/>
        <v>175.41695999999999</v>
      </c>
      <c r="H13" s="120">
        <f t="shared" si="2"/>
        <v>21.927119999999999</v>
      </c>
      <c r="I13" s="120">
        <f t="shared" si="3"/>
        <v>472.96797839999999</v>
      </c>
      <c r="J13" s="120">
        <f>VPTA!K24</f>
        <v>220.43728000000002</v>
      </c>
      <c r="K13" s="120">
        <f>VPTA!I24</f>
        <v>170</v>
      </c>
      <c r="L13" s="120">
        <f>VPTA!J24</f>
        <v>550</v>
      </c>
      <c r="M13" s="120">
        <f t="shared" si="4"/>
        <v>14.2</v>
      </c>
      <c r="N13" s="111">
        <f t="shared" si="5"/>
        <v>4398.7300183999996</v>
      </c>
    </row>
    <row r="14" spans="2:14" x14ac:dyDescent="0.2">
      <c r="B14" s="127">
        <f>VPTA!C25</f>
        <v>1</v>
      </c>
      <c r="C14" s="110" t="str">
        <f>VPTA!A25</f>
        <v>AUXILIAR ADMINISTRATIVO</v>
      </c>
      <c r="D14" s="106">
        <v>44</v>
      </c>
      <c r="E14" s="120">
        <f>VPTA!E25</f>
        <v>2192.712</v>
      </c>
      <c r="F14" s="120">
        <f t="shared" si="0"/>
        <v>581.06867999999997</v>
      </c>
      <c r="G14" s="120">
        <f t="shared" si="1"/>
        <v>175.41695999999999</v>
      </c>
      <c r="H14" s="120">
        <f t="shared" si="2"/>
        <v>21.927119999999999</v>
      </c>
      <c r="I14" s="120">
        <f t="shared" si="3"/>
        <v>472.96797839999999</v>
      </c>
      <c r="J14" s="120">
        <f>VPTA!K25</f>
        <v>220.43728000000002</v>
      </c>
      <c r="K14" s="120">
        <f>VPTA!I25</f>
        <v>170</v>
      </c>
      <c r="L14" s="120">
        <f>VPTA!J25</f>
        <v>550</v>
      </c>
      <c r="M14" s="120">
        <f t="shared" si="4"/>
        <v>14.2</v>
      </c>
      <c r="N14" s="111">
        <f t="shared" si="5"/>
        <v>4398.7300183999996</v>
      </c>
    </row>
    <row r="15" spans="2:14" x14ac:dyDescent="0.2">
      <c r="B15" s="127">
        <f>VPTA!C26</f>
        <v>6</v>
      </c>
      <c r="C15" s="110" t="str">
        <f>VPTA!A26</f>
        <v>AUXILIAR DE LIMPEZA</v>
      </c>
      <c r="D15" s="106">
        <v>44</v>
      </c>
      <c r="E15" s="120">
        <f>VPTA!E26</f>
        <v>9209.3904000000002</v>
      </c>
      <c r="F15" s="120">
        <f t="shared" si="0"/>
        <v>2440.488456</v>
      </c>
      <c r="G15" s="120">
        <f t="shared" si="1"/>
        <v>736.75123200000007</v>
      </c>
      <c r="H15" s="120">
        <f t="shared" si="2"/>
        <v>92.093904000000009</v>
      </c>
      <c r="I15" s="120">
        <f t="shared" si="3"/>
        <v>1986.4655092800001</v>
      </c>
      <c r="J15" s="120">
        <f>VPTA!K26</f>
        <v>1559.4365760000001</v>
      </c>
      <c r="K15" s="120">
        <f>VPTA!I26</f>
        <v>1020</v>
      </c>
      <c r="L15" s="120">
        <f>VPTA!J26</f>
        <v>3300</v>
      </c>
      <c r="M15" s="120">
        <f t="shared" si="4"/>
        <v>85.199999999999989</v>
      </c>
      <c r="N15" s="111">
        <f t="shared" si="5"/>
        <v>20429.826077280002</v>
      </c>
    </row>
    <row r="16" spans="2:14" ht="6.5" customHeight="1" thickBot="1" x14ac:dyDescent="0.25">
      <c r="B16" s="128"/>
      <c r="C16" s="112"/>
      <c r="D16" s="113"/>
      <c r="E16" s="100"/>
      <c r="F16" s="100"/>
      <c r="G16" s="100"/>
      <c r="H16" s="100"/>
      <c r="I16" s="100"/>
      <c r="J16" s="100"/>
      <c r="K16" s="100"/>
      <c r="L16" s="100"/>
      <c r="M16" s="100"/>
      <c r="N16" s="101"/>
    </row>
    <row r="17" spans="2:14" ht="16" thickBot="1" x14ac:dyDescent="0.25">
      <c r="B17" s="124">
        <f>SUM(B3:B16)</f>
        <v>78</v>
      </c>
      <c r="C17" s="121" t="s">
        <v>64</v>
      </c>
      <c r="D17" s="123"/>
      <c r="E17" s="122">
        <f t="shared" ref="E17:N17" si="14">SUM(E3:E15)</f>
        <v>173331.99040000001</v>
      </c>
      <c r="F17" s="122">
        <f t="shared" si="14"/>
        <v>45932.977456000001</v>
      </c>
      <c r="G17" s="122">
        <f t="shared" si="14"/>
        <v>13866.559231999998</v>
      </c>
      <c r="H17" s="122">
        <f t="shared" si="14"/>
        <v>1733.3199039999997</v>
      </c>
      <c r="I17" s="122">
        <f t="shared" si="14"/>
        <v>37387.710329280009</v>
      </c>
      <c r="J17" s="122">
        <f t="shared" si="14"/>
        <v>17382.066176</v>
      </c>
      <c r="K17" s="122">
        <f t="shared" si="14"/>
        <v>13260</v>
      </c>
      <c r="L17" s="122">
        <f t="shared" si="14"/>
        <v>42900</v>
      </c>
      <c r="M17" s="122">
        <f t="shared" si="14"/>
        <v>1107.6000000000001</v>
      </c>
      <c r="N17" s="130">
        <f t="shared" si="14"/>
        <v>346902.22349727998</v>
      </c>
    </row>
  </sheetData>
  <pageMargins left="0.511811024" right="0.511811024" top="0.78740157499999996" bottom="0.78740157499999996" header="0.31496062000000002" footer="0.31496062000000002"/>
  <ignoredErrors>
    <ignoredError sqref="D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Anexo VII</vt:lpstr>
      <vt:lpstr>VPTA</vt:lpstr>
      <vt:lpstr>Plano Orçamentario</vt:lpstr>
      <vt:lpstr>Plano Analitico</vt:lpstr>
      <vt:lpstr>Salarios</vt:lpstr>
      <vt:lpstr>'Plano Analitico'!Area_de_impressao</vt:lpstr>
      <vt:lpstr>VPTA!Area_de_impressao</vt:lpstr>
    </vt:vector>
  </TitlesOfParts>
  <Manager/>
  <Company>LG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Microsoft Office User</cp:lastModifiedBy>
  <cp:revision/>
  <cp:lastPrinted>2022-06-14T18:04:59Z</cp:lastPrinted>
  <dcterms:created xsi:type="dcterms:W3CDTF">2016-11-17T19:38:39Z</dcterms:created>
  <dcterms:modified xsi:type="dcterms:W3CDTF">2022-10-13T19:16:03Z</dcterms:modified>
  <cp:category/>
  <cp:contentStatus/>
</cp:coreProperties>
</file>