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autoCompressPictures="0" defaultThemeVersion="124226"/>
  <mc:AlternateContent xmlns:mc="http://schemas.openxmlformats.org/markup-compatibility/2006">
    <mc:Choice Requires="x15">
      <x15ac:absPath xmlns:x15ac="http://schemas.microsoft.com/office/spreadsheetml/2010/11/ac" url="D:\Diversos\IGEVE\Sorocaba\124 Maria Aparecida\2022\"/>
    </mc:Choice>
  </mc:AlternateContent>
  <xr:revisionPtr revIDLastSave="0" documentId="13_ncr:1_{3E40BE9C-5785-4FA0-BF12-AAD591A78038}" xr6:coauthVersionLast="47" xr6:coauthVersionMax="47" xr10:uidLastSave="{00000000-0000-0000-0000-000000000000}"/>
  <bookViews>
    <workbookView xWindow="-108" yWindow="-108" windowWidth="23256" windowHeight="12576" xr2:uid="{00000000-000D-0000-FFFF-FFFF00000000}"/>
  </bookViews>
  <sheets>
    <sheet name="VPTA" sheetId="14" r:id="rId1"/>
    <sheet name="Plano Orçamentario" sheetId="16" r:id="rId2"/>
    <sheet name="Plano Analitico" sheetId="20" r:id="rId3"/>
    <sheet name="Planilha1" sheetId="21" r:id="rId4"/>
  </sheets>
  <definedNames>
    <definedName name="_xlnm._FilterDatabase" localSheetId="0" hidden="1">VPTA!$A$14:$Q$21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8" i="14" l="1"/>
  <c r="D21" i="14"/>
  <c r="D17" i="20"/>
  <c r="H36" i="16"/>
  <c r="D17" i="14" l="1"/>
  <c r="L11" i="21" l="1"/>
  <c r="E6" i="21"/>
  <c r="O6" i="21" s="1"/>
  <c r="E5" i="21"/>
  <c r="O5" i="21" s="1"/>
  <c r="D6" i="21"/>
  <c r="D7" i="21"/>
  <c r="D8" i="21"/>
  <c r="D9" i="21"/>
  <c r="D10" i="21"/>
  <c r="D5" i="21"/>
  <c r="D4" i="21"/>
  <c r="C6" i="21"/>
  <c r="C7" i="21"/>
  <c r="C8" i="21"/>
  <c r="C9" i="21"/>
  <c r="C10" i="21"/>
  <c r="C5" i="21"/>
  <c r="C4" i="21"/>
  <c r="B6" i="21"/>
  <c r="B7" i="21"/>
  <c r="B8" i="21"/>
  <c r="B9" i="21"/>
  <c r="B10" i="21"/>
  <c r="B5" i="21"/>
  <c r="B4" i="21"/>
  <c r="B11" i="21" l="1"/>
  <c r="G25" i="16" l="1"/>
  <c r="H25" i="16" s="1"/>
  <c r="C25" i="16"/>
  <c r="B25" i="16"/>
  <c r="G24" i="16"/>
  <c r="H24" i="16" s="1"/>
  <c r="C24" i="16"/>
  <c r="B24" i="16"/>
  <c r="G23" i="16"/>
  <c r="H23" i="16" s="1"/>
  <c r="C23" i="16"/>
  <c r="B23" i="16"/>
  <c r="O42" i="20"/>
  <c r="N42" i="20"/>
  <c r="M42" i="20"/>
  <c r="L42" i="20"/>
  <c r="K42" i="20"/>
  <c r="J42" i="20"/>
  <c r="I42" i="20"/>
  <c r="H42" i="20"/>
  <c r="G42" i="20"/>
  <c r="F42" i="20"/>
  <c r="E42" i="20"/>
  <c r="O40" i="20"/>
  <c r="N40" i="20"/>
  <c r="M40" i="20"/>
  <c r="L40" i="20"/>
  <c r="K40" i="20"/>
  <c r="J40" i="20"/>
  <c r="I40" i="20"/>
  <c r="H40" i="20"/>
  <c r="G40" i="20"/>
  <c r="F40" i="20"/>
  <c r="E40" i="20"/>
  <c r="O39" i="20"/>
  <c r="N39" i="20"/>
  <c r="M39" i="20"/>
  <c r="L39" i="20"/>
  <c r="K39" i="20"/>
  <c r="J39" i="20"/>
  <c r="I39" i="20"/>
  <c r="H39" i="20"/>
  <c r="G39" i="20"/>
  <c r="F39" i="20"/>
  <c r="E39" i="20"/>
  <c r="O38" i="20"/>
  <c r="N38" i="20"/>
  <c r="M38" i="20"/>
  <c r="L38" i="20"/>
  <c r="K38" i="20"/>
  <c r="J38" i="20"/>
  <c r="I38" i="20"/>
  <c r="H38" i="20"/>
  <c r="G38" i="20"/>
  <c r="F38" i="20"/>
  <c r="E38" i="20"/>
  <c r="O37" i="20"/>
  <c r="N37" i="20"/>
  <c r="M37" i="20"/>
  <c r="L37" i="20"/>
  <c r="K37" i="20"/>
  <c r="J37" i="20"/>
  <c r="I37" i="20"/>
  <c r="H37" i="20"/>
  <c r="G37" i="20"/>
  <c r="F37" i="20"/>
  <c r="E37" i="20"/>
  <c r="O36" i="20"/>
  <c r="N36" i="20"/>
  <c r="M36" i="20"/>
  <c r="L36" i="20"/>
  <c r="K36" i="20"/>
  <c r="J36" i="20"/>
  <c r="I36" i="20"/>
  <c r="H36" i="20"/>
  <c r="G36" i="20"/>
  <c r="F36" i="20"/>
  <c r="E36" i="20"/>
  <c r="O34" i="20"/>
  <c r="N34" i="20"/>
  <c r="M34" i="20"/>
  <c r="L34" i="20"/>
  <c r="K34" i="20"/>
  <c r="J34" i="20"/>
  <c r="I34" i="20"/>
  <c r="H34" i="20"/>
  <c r="G34" i="20"/>
  <c r="F34" i="20"/>
  <c r="E34" i="20"/>
  <c r="O33" i="20"/>
  <c r="N33" i="20"/>
  <c r="M33" i="20"/>
  <c r="L33" i="20"/>
  <c r="K33" i="20"/>
  <c r="J33" i="20"/>
  <c r="I33" i="20"/>
  <c r="H33" i="20"/>
  <c r="G33" i="20"/>
  <c r="F33" i="20"/>
  <c r="E33" i="20"/>
  <c r="O32" i="20"/>
  <c r="N32" i="20"/>
  <c r="M32" i="20"/>
  <c r="L32" i="20"/>
  <c r="K32" i="20"/>
  <c r="J32" i="20"/>
  <c r="I32" i="20"/>
  <c r="H32" i="20"/>
  <c r="G32" i="20"/>
  <c r="F32" i="20"/>
  <c r="E32" i="20"/>
  <c r="P32" i="20" s="1"/>
  <c r="O31" i="20"/>
  <c r="N31" i="20"/>
  <c r="M31" i="20"/>
  <c r="L31" i="20"/>
  <c r="K31" i="20"/>
  <c r="J31" i="20"/>
  <c r="I31" i="20"/>
  <c r="H31" i="20"/>
  <c r="G31" i="20"/>
  <c r="F31" i="20"/>
  <c r="E31" i="20"/>
  <c r="M27" i="14"/>
  <c r="M28" i="14"/>
  <c r="P34" i="20" l="1"/>
  <c r="P33" i="20"/>
  <c r="D13" i="20"/>
  <c r="D13" i="16"/>
  <c r="L32" i="14"/>
  <c r="I10" i="21" s="1"/>
  <c r="S10" i="21" s="1"/>
  <c r="L31" i="14"/>
  <c r="I9" i="21" s="1"/>
  <c r="S9" i="21" s="1"/>
  <c r="L30" i="14"/>
  <c r="I8" i="21" s="1"/>
  <c r="S8" i="21" s="1"/>
  <c r="L29" i="14"/>
  <c r="I7" i="21" s="1"/>
  <c r="L28" i="14"/>
  <c r="I6" i="21" s="1"/>
  <c r="S6" i="21" s="1"/>
  <c r="L27" i="14"/>
  <c r="I5" i="21" s="1"/>
  <c r="S5" i="21" s="1"/>
  <c r="L26" i="14"/>
  <c r="I4" i="21" s="1"/>
  <c r="S4" i="21" s="1"/>
  <c r="H3" i="14"/>
  <c r="B12" i="14"/>
  <c r="J3" i="14" s="1"/>
  <c r="D11" i="14"/>
  <c r="D10" i="14"/>
  <c r="D9" i="14"/>
  <c r="D8" i="14"/>
  <c r="N30" i="14"/>
  <c r="H8" i="21" s="1"/>
  <c r="R8" i="21" s="1"/>
  <c r="F19" i="14"/>
  <c r="G33" i="16"/>
  <c r="N31" i="14"/>
  <c r="H9" i="21" s="1"/>
  <c r="R9" i="21" s="1"/>
  <c r="F20" i="14"/>
  <c r="E10" i="21" l="1"/>
  <c r="M32" i="14"/>
  <c r="E8" i="21"/>
  <c r="M30" i="14"/>
  <c r="E4" i="21"/>
  <c r="M26" i="14"/>
  <c r="E9" i="21"/>
  <c r="M31" i="14"/>
  <c r="S7" i="21"/>
  <c r="S11" i="21" s="1"/>
  <c r="I11" i="21"/>
  <c r="E7" i="21"/>
  <c r="O7" i="21" s="1"/>
  <c r="M29" i="14"/>
  <c r="P42" i="20"/>
  <c r="D12" i="14"/>
  <c r="I19" i="14"/>
  <c r="L20" i="14"/>
  <c r="H19" i="14"/>
  <c r="L19" i="14"/>
  <c r="J19" i="14"/>
  <c r="K19" i="14"/>
  <c r="O19" i="14"/>
  <c r="O20" i="14"/>
  <c r="P20" i="14" s="1"/>
  <c r="H20" i="14"/>
  <c r="I20" i="14"/>
  <c r="J20" i="14"/>
  <c r="K20" i="14"/>
  <c r="N27" i="14"/>
  <c r="H5" i="21" s="1"/>
  <c r="R5" i="21" s="1"/>
  <c r="F16" i="14"/>
  <c r="O16" i="14" s="1"/>
  <c r="C31" i="16"/>
  <c r="B31" i="16"/>
  <c r="C30" i="16"/>
  <c r="B30" i="16"/>
  <c r="C29" i="16"/>
  <c r="B29" i="16"/>
  <c r="O9" i="21" l="1"/>
  <c r="O8" i="21"/>
  <c r="O31" i="14"/>
  <c r="F9" i="21" s="1"/>
  <c r="N20" i="14"/>
  <c r="O4" i="21"/>
  <c r="O10" i="21"/>
  <c r="E11" i="21"/>
  <c r="M20" i="14"/>
  <c r="P19" i="14"/>
  <c r="J30" i="14" s="1"/>
  <c r="M19" i="14"/>
  <c r="N19" i="14"/>
  <c r="I31" i="14"/>
  <c r="J31" i="14"/>
  <c r="H16" i="14"/>
  <c r="L16" i="14"/>
  <c r="P16" i="14"/>
  <c r="J27" i="14" s="1"/>
  <c r="I16" i="14"/>
  <c r="J16" i="14"/>
  <c r="K16" i="14"/>
  <c r="P9" i="21" l="1"/>
  <c r="G8" i="21"/>
  <c r="Q8" i="21" s="1"/>
  <c r="N16" i="14"/>
  <c r="K27" i="14" s="1"/>
  <c r="K31" i="14"/>
  <c r="P31" i="14" s="1"/>
  <c r="O11" i="21"/>
  <c r="I30" i="14"/>
  <c r="K30" i="14"/>
  <c r="O30" i="14"/>
  <c r="F8" i="21" s="1"/>
  <c r="M16" i="14"/>
  <c r="I27" i="14"/>
  <c r="O27" i="14"/>
  <c r="F5" i="21" s="1"/>
  <c r="G30" i="16"/>
  <c r="H30" i="16" s="1"/>
  <c r="G29" i="16"/>
  <c r="H29" i="16" s="1"/>
  <c r="G5" i="21" l="1"/>
  <c r="Q5" i="21" s="1"/>
  <c r="P5" i="21"/>
  <c r="T5" i="21" s="1"/>
  <c r="J5" i="21"/>
  <c r="G9" i="21"/>
  <c r="P8" i="21"/>
  <c r="T8" i="21" s="1"/>
  <c r="J8" i="21"/>
  <c r="P27" i="14"/>
  <c r="P30" i="14"/>
  <c r="P39" i="20"/>
  <c r="P38" i="20"/>
  <c r="Q9" i="21" l="1"/>
  <c r="T9" i="21" s="1"/>
  <c r="J9" i="21"/>
  <c r="N32" i="14"/>
  <c r="H10" i="21" s="1"/>
  <c r="R10" i="21" s="1"/>
  <c r="F21" i="14"/>
  <c r="G22" i="16"/>
  <c r="H22" i="16" s="1"/>
  <c r="C22" i="16"/>
  <c r="B22" i="16"/>
  <c r="C28" i="16"/>
  <c r="B28" i="16"/>
  <c r="B27" i="16"/>
  <c r="I21" i="14" l="1"/>
  <c r="J21" i="14"/>
  <c r="K21" i="14"/>
  <c r="H21" i="14"/>
  <c r="L21" i="14"/>
  <c r="O21" i="14"/>
  <c r="D55" i="20" l="1"/>
  <c r="P21" i="14"/>
  <c r="O32" i="14" s="1"/>
  <c r="F10" i="21" s="1"/>
  <c r="M21" i="14"/>
  <c r="N21" i="14"/>
  <c r="J18" i="14"/>
  <c r="N28" i="14"/>
  <c r="H6" i="21" s="1"/>
  <c r="R6" i="21" s="1"/>
  <c r="N29" i="14"/>
  <c r="H7" i="21" s="1"/>
  <c r="N26" i="14"/>
  <c r="H4" i="21" s="1"/>
  <c r="R4" i="21" s="1"/>
  <c r="F15" i="14"/>
  <c r="L15" i="14" s="1"/>
  <c r="F17" i="14"/>
  <c r="F18" i="14"/>
  <c r="G23" i="14"/>
  <c r="G27" i="16"/>
  <c r="G32" i="16"/>
  <c r="H32" i="16" s="1"/>
  <c r="G28" i="16"/>
  <c r="H28" i="16" s="1"/>
  <c r="G31" i="16"/>
  <c r="H31" i="16" s="1"/>
  <c r="E23" i="14"/>
  <c r="C23" i="14"/>
  <c r="C27" i="16"/>
  <c r="P10" i="21" l="1"/>
  <c r="R7" i="21"/>
  <c r="R11" i="21" s="1"/>
  <c r="H11" i="21"/>
  <c r="H55" i="20"/>
  <c r="G55" i="20"/>
  <c r="L55" i="20"/>
  <c r="M55" i="20"/>
  <c r="O55" i="20"/>
  <c r="K55" i="20"/>
  <c r="J55" i="20"/>
  <c r="F55" i="20"/>
  <c r="N55" i="20"/>
  <c r="I55" i="20"/>
  <c r="E55" i="20"/>
  <c r="I18" i="14"/>
  <c r="I32" i="14"/>
  <c r="G10" i="21" s="1"/>
  <c r="J32" i="14"/>
  <c r="K32" i="14" s="1"/>
  <c r="P32" i="14" s="1"/>
  <c r="O15" i="14"/>
  <c r="P15" i="14" s="1"/>
  <c r="H33" i="16"/>
  <c r="P37" i="20"/>
  <c r="P36" i="20"/>
  <c r="P31" i="20"/>
  <c r="M15" i="14"/>
  <c r="N15" i="14"/>
  <c r="L34" i="14"/>
  <c r="J15" i="14"/>
  <c r="K15" i="14"/>
  <c r="H18" i="14"/>
  <c r="M34" i="14"/>
  <c r="F23" i="14"/>
  <c r="G26" i="16"/>
  <c r="H27" i="16"/>
  <c r="H26" i="16" s="1"/>
  <c r="H17" i="14"/>
  <c r="J17" i="14"/>
  <c r="K17" i="14"/>
  <c r="L17" i="14"/>
  <c r="O17" i="14"/>
  <c r="H15" i="14"/>
  <c r="I15" i="14"/>
  <c r="D23" i="14"/>
  <c r="P40" i="20"/>
  <c r="I17" i="14"/>
  <c r="N34" i="14"/>
  <c r="O18" i="14"/>
  <c r="L18" i="14"/>
  <c r="K18" i="14"/>
  <c r="I26" i="14" l="1"/>
  <c r="Q10" i="21"/>
  <c r="J10" i="21"/>
  <c r="T10" i="21"/>
  <c r="G18" i="16"/>
  <c r="D27" i="20"/>
  <c r="E27" i="20" s="1"/>
  <c r="P55" i="20"/>
  <c r="O26" i="14"/>
  <c r="F4" i="21" s="1"/>
  <c r="H18" i="16"/>
  <c r="J26" i="14"/>
  <c r="K26" i="14" s="1"/>
  <c r="P26" i="14" s="1"/>
  <c r="L23" i="14"/>
  <c r="J23" i="14"/>
  <c r="I23" i="14"/>
  <c r="H23" i="14"/>
  <c r="M17" i="14"/>
  <c r="N17" i="14"/>
  <c r="G17" i="16"/>
  <c r="D23" i="20"/>
  <c r="P17" i="14"/>
  <c r="O28" i="14" s="1"/>
  <c r="F6" i="21" s="1"/>
  <c r="M18" i="14"/>
  <c r="N18" i="14"/>
  <c r="K23" i="14"/>
  <c r="D24" i="20" s="1"/>
  <c r="P18" i="14"/>
  <c r="O29" i="14" s="1"/>
  <c r="F7" i="21" s="1"/>
  <c r="O23" i="14"/>
  <c r="P4" i="21" l="1"/>
  <c r="G4" i="21"/>
  <c r="Q4" i="21" s="1"/>
  <c r="P6" i="21"/>
  <c r="P7" i="21"/>
  <c r="F11" i="21"/>
  <c r="G27" i="20"/>
  <c r="H27" i="20"/>
  <c r="M27" i="20"/>
  <c r="J27" i="20"/>
  <c r="O27" i="20"/>
  <c r="N27" i="20"/>
  <c r="L27" i="20"/>
  <c r="I27" i="20"/>
  <c r="F27" i="20"/>
  <c r="K27" i="20"/>
  <c r="J28" i="14"/>
  <c r="K28" i="14" s="1"/>
  <c r="F24" i="20"/>
  <c r="J24" i="20"/>
  <c r="M24" i="20"/>
  <c r="E24" i="20"/>
  <c r="I24" i="20"/>
  <c r="L24" i="20"/>
  <c r="H24" i="20"/>
  <c r="O24" i="20"/>
  <c r="G24" i="20"/>
  <c r="K24" i="20"/>
  <c r="N24" i="20"/>
  <c r="H17" i="16"/>
  <c r="M23" i="14"/>
  <c r="D25" i="20"/>
  <c r="J29" i="14"/>
  <c r="K29" i="14" s="1"/>
  <c r="O34" i="14"/>
  <c r="P23" i="14"/>
  <c r="I28" i="14"/>
  <c r="G6" i="21" s="1"/>
  <c r="E23" i="20"/>
  <c r="I23" i="20"/>
  <c r="L23" i="20"/>
  <c r="H23" i="20"/>
  <c r="K23" i="20"/>
  <c r="O23" i="20"/>
  <c r="F23" i="20"/>
  <c r="G23" i="20"/>
  <c r="M23" i="20"/>
  <c r="J23" i="20"/>
  <c r="N23" i="20"/>
  <c r="N23" i="14"/>
  <c r="I29" i="14"/>
  <c r="G7" i="21" s="1"/>
  <c r="J4" i="21" l="1"/>
  <c r="T4" i="21"/>
  <c r="P28" i="14"/>
  <c r="P29" i="14"/>
  <c r="Q6" i="21"/>
  <c r="T6" i="21" s="1"/>
  <c r="J6" i="21"/>
  <c r="Q7" i="21"/>
  <c r="G11" i="21"/>
  <c r="J11" i="21" s="1"/>
  <c r="J7" i="21"/>
  <c r="P11" i="21"/>
  <c r="P27" i="20"/>
  <c r="P24" i="20"/>
  <c r="K34" i="14"/>
  <c r="D26" i="20"/>
  <c r="G19" i="16"/>
  <c r="J34" i="14"/>
  <c r="I34" i="14"/>
  <c r="G25" i="20"/>
  <c r="N25" i="20"/>
  <c r="F25" i="20"/>
  <c r="J25" i="20"/>
  <c r="M25" i="20"/>
  <c r="I25" i="20"/>
  <c r="K25" i="20"/>
  <c r="H25" i="20"/>
  <c r="E25" i="20"/>
  <c r="O25" i="20"/>
  <c r="L25" i="20"/>
  <c r="P23" i="20"/>
  <c r="Q11" i="21" l="1"/>
  <c r="T7" i="21"/>
  <c r="P34" i="14"/>
  <c r="D28" i="20"/>
  <c r="M28" i="20" s="1"/>
  <c r="P25" i="20"/>
  <c r="G20" i="16"/>
  <c r="H20" i="16" s="1"/>
  <c r="H19" i="16"/>
  <c r="H26" i="20"/>
  <c r="K26" i="20"/>
  <c r="O26" i="20"/>
  <c r="G26" i="20"/>
  <c r="N26" i="20"/>
  <c r="L26" i="20"/>
  <c r="F26" i="20"/>
  <c r="I26" i="20"/>
  <c r="M26" i="20"/>
  <c r="E26" i="20"/>
  <c r="J26" i="20"/>
  <c r="N28" i="20" l="1"/>
  <c r="N53" i="20" s="1"/>
  <c r="N57" i="20" s="1"/>
  <c r="F28" i="20"/>
  <c r="F53" i="20" s="1"/>
  <c r="F57" i="20" s="1"/>
  <c r="L28" i="20"/>
  <c r="I28" i="20"/>
  <c r="I53" i="20" s="1"/>
  <c r="I57" i="20" s="1"/>
  <c r="H28" i="20"/>
  <c r="H53" i="20" s="1"/>
  <c r="H57" i="20" s="1"/>
  <c r="J28" i="20"/>
  <c r="J53" i="20" s="1"/>
  <c r="J57" i="20" s="1"/>
  <c r="L53" i="20"/>
  <c r="L57" i="20" s="1"/>
  <c r="D53" i="20"/>
  <c r="D57" i="20" s="1"/>
  <c r="K28" i="20"/>
  <c r="K53" i="20" s="1"/>
  <c r="K57" i="20" s="1"/>
  <c r="E28" i="20"/>
  <c r="E53" i="20" s="1"/>
  <c r="E57" i="20" s="1"/>
  <c r="H16" i="16"/>
  <c r="O28" i="20"/>
  <c r="O53" i="20" s="1"/>
  <c r="O57" i="20" s="1"/>
  <c r="G28" i="20"/>
  <c r="G53" i="20" s="1"/>
  <c r="G57" i="20" s="1"/>
  <c r="G16" i="16"/>
  <c r="M53" i="20"/>
  <c r="M57" i="20" s="1"/>
  <c r="P26" i="20"/>
  <c r="P28" i="20" l="1"/>
  <c r="P53" i="20"/>
  <c r="P57" i="20"/>
  <c r="G21" i="16"/>
  <c r="G34" i="16" s="1"/>
  <c r="H21" i="16"/>
  <c r="I6" i="14" l="1"/>
  <c r="H34" i="16"/>
  <c r="K5" i="14" l="1"/>
  <c r="H6" i="14"/>
  <c r="I16" i="16" s="1"/>
  <c r="J6" i="14"/>
  <c r="O17" i="20"/>
  <c r="O19" i="20" s="1"/>
  <c r="O59" i="20" s="1"/>
  <c r="Q34" i="14"/>
  <c r="N17" i="20" l="1"/>
  <c r="N19" i="20" s="1"/>
  <c r="N59" i="20" s="1"/>
  <c r="I34" i="16"/>
  <c r="E17" i="20"/>
  <c r="E19" i="20" s="1"/>
  <c r="E59" i="20" s="1"/>
  <c r="D19" i="20"/>
  <c r="D59" i="20" s="1"/>
  <c r="I17" i="20"/>
  <c r="I19" i="20" s="1"/>
  <c r="I59" i="20" s="1"/>
  <c r="H17" i="20"/>
  <c r="H19" i="20" s="1"/>
  <c r="H59" i="20" s="1"/>
  <c r="F17" i="20"/>
  <c r="F19" i="20" s="1"/>
  <c r="F59" i="20" s="1"/>
  <c r="M17" i="20"/>
  <c r="M19" i="20" s="1"/>
  <c r="M59" i="20" s="1"/>
  <c r="J17" i="20"/>
  <c r="J19" i="20" s="1"/>
  <c r="J59" i="20" s="1"/>
  <c r="L17" i="20"/>
  <c r="L19" i="20" s="1"/>
  <c r="L59" i="20" s="1"/>
  <c r="H38" i="16"/>
  <c r="K17" i="20"/>
  <c r="K19" i="20" s="1"/>
  <c r="K59" i="20" s="1"/>
  <c r="G17" i="20"/>
  <c r="G19" i="20" s="1"/>
  <c r="G59" i="20" s="1"/>
  <c r="P18" i="20"/>
  <c r="P17" i="20" l="1"/>
  <c r="P19" i="20" s="1"/>
  <c r="P59" i="20" s="1"/>
</calcChain>
</file>

<file path=xl/sharedStrings.xml><?xml version="1.0" encoding="utf-8"?>
<sst xmlns="http://schemas.openxmlformats.org/spreadsheetml/2006/main" count="171" uniqueCount="133">
  <si>
    <t>VLR CONTRATO ANO</t>
  </si>
  <si>
    <t>VLR CONTRATO MÊS</t>
  </si>
  <si>
    <t>FUNÇÃO</t>
  </si>
  <si>
    <t>horas</t>
  </si>
  <si>
    <t>QTD</t>
  </si>
  <si>
    <t>SALÁRIO BRUTO</t>
  </si>
  <si>
    <t>ADC. NOTURNO</t>
  </si>
  <si>
    <t>INSALUBRIDADE</t>
  </si>
  <si>
    <t>DSR S/ADC. NOT</t>
  </si>
  <si>
    <t>INSS EMPRESA</t>
  </si>
  <si>
    <t>INSS TERCEIROS</t>
  </si>
  <si>
    <t>RAT</t>
  </si>
  <si>
    <t>FGTS</t>
  </si>
  <si>
    <t>13º SALARIO</t>
  </si>
  <si>
    <t>INSS 13º</t>
  </si>
  <si>
    <t>FGTS 13º</t>
  </si>
  <si>
    <t>FÉRIAS</t>
  </si>
  <si>
    <t>1/3 FÉRIAS</t>
  </si>
  <si>
    <t>INSS FÉRIAS</t>
  </si>
  <si>
    <t>FGTS FÉRIAS</t>
  </si>
  <si>
    <t>MULTA FGTS</t>
  </si>
  <si>
    <t>VR</t>
  </si>
  <si>
    <t>VT</t>
  </si>
  <si>
    <t>PIS</t>
  </si>
  <si>
    <t>CUSTO TOTAL</t>
  </si>
  <si>
    <t>SUBTOTAL</t>
  </si>
  <si>
    <t>Salários</t>
  </si>
  <si>
    <t>Vale Transporte</t>
  </si>
  <si>
    <t>TOTAL</t>
  </si>
  <si>
    <t>PLANO ORÇAMENTÁRIO DE CUSTEIO</t>
  </si>
  <si>
    <t>DESCRIÇÃO</t>
  </si>
  <si>
    <t>Implantação</t>
  </si>
  <si>
    <t>Mês Seguinte</t>
  </si>
  <si>
    <t>01. Pessoal e Reflexo</t>
  </si>
  <si>
    <t>01.01</t>
  </si>
  <si>
    <t>- Remuneração de Pessoal</t>
  </si>
  <si>
    <t>01.02</t>
  </si>
  <si>
    <t>- Beneficios</t>
  </si>
  <si>
    <t>01.03</t>
  </si>
  <si>
    <t>- Encargos e Contribuições</t>
  </si>
  <si>
    <t>01.04</t>
  </si>
  <si>
    <t>- Outras Despesas de Pessoal</t>
  </si>
  <si>
    <t>02. Materiais de Consumo</t>
  </si>
  <si>
    <t>03. Serviços de Terceiros</t>
  </si>
  <si>
    <t>04. Despesas Indiretas</t>
  </si>
  <si>
    <t>JAN</t>
  </si>
  <si>
    <t>FEV</t>
  </si>
  <si>
    <t>MAR</t>
  </si>
  <si>
    <t>ABR</t>
  </si>
  <si>
    <t>MAI</t>
  </si>
  <si>
    <t>JUN</t>
  </si>
  <si>
    <t>JUL</t>
  </si>
  <si>
    <t>AGO</t>
  </si>
  <si>
    <t>SET</t>
  </si>
  <si>
    <t>OUT</t>
  </si>
  <si>
    <t>NOV</t>
  </si>
  <si>
    <t>DEZ</t>
  </si>
  <si>
    <t>RECEITAS</t>
  </si>
  <si>
    <t>Repasse Contrato de Gestão (Custeio)</t>
  </si>
  <si>
    <t>PESSOAL</t>
  </si>
  <si>
    <t>1.</t>
  </si>
  <si>
    <t>RECURSOS HUMANOS - CLT FOLHA</t>
  </si>
  <si>
    <t>1.1.</t>
  </si>
  <si>
    <t>Administrativo/Assistencial</t>
  </si>
  <si>
    <t>1.2.</t>
  </si>
  <si>
    <t>1.3.</t>
  </si>
  <si>
    <t>INSS (Lançar funcionário + patronal)</t>
  </si>
  <si>
    <t>1.4.</t>
  </si>
  <si>
    <t>1.5.</t>
  </si>
  <si>
    <t>Benefícios (Vale T. total, Cesta Básica, Assistência Médica, etc)</t>
  </si>
  <si>
    <t>1.6.</t>
  </si>
  <si>
    <t>Obrigações Trabalhistas Pagas (férias + 13º + recisões pagas)</t>
  </si>
  <si>
    <t>OPERACIONAL</t>
  </si>
  <si>
    <t>2.</t>
  </si>
  <si>
    <t>MATERIAIS DE CONSUMO</t>
  </si>
  <si>
    <t>2.1.</t>
  </si>
  <si>
    <t>2.2.</t>
  </si>
  <si>
    <t>3.</t>
  </si>
  <si>
    <t>SERVIÇOS DE TERCEIROS</t>
  </si>
  <si>
    <t>3.2.</t>
  </si>
  <si>
    <t>3.4.</t>
  </si>
  <si>
    <t>4.</t>
  </si>
  <si>
    <t>Despesas Indiretas</t>
  </si>
  <si>
    <t>4.1.</t>
  </si>
  <si>
    <t>TOTAL DE DESPPESAS PESSOAL</t>
  </si>
  <si>
    <t>TOTAL DE DESPESAS OPERACIONAIS</t>
  </si>
  <si>
    <t>TOTAL GERAL DAS DESPPESAS (OPERACIONAIS + NÃO OPERACIONAIS)</t>
  </si>
  <si>
    <t>NOME DO RESPONSÁVEL PELA UNIDADE:</t>
  </si>
  <si>
    <t>ASSINATURA DO RESPONSÁVEL PELA UNIDADE:</t>
  </si>
  <si>
    <t>DATA:</t>
  </si>
  <si>
    <t>Despesas Fixas (Utilidades)</t>
  </si>
  <si>
    <t>TOTAL (RECEITA - DESPESAS)</t>
  </si>
  <si>
    <t>Diversos D.I.</t>
  </si>
  <si>
    <t>DIRETOR</t>
  </si>
  <si>
    <t>PROFESSORES</t>
  </si>
  <si>
    <t>VLR CONTRATO PER CAPITA</t>
  </si>
  <si>
    <t>Repasse Contrato de Gestão (investimentos)</t>
  </si>
  <si>
    <t>TOTAL DE RECURSOS DISPONÍVEIS</t>
  </si>
  <si>
    <t>Descritivo</t>
  </si>
  <si>
    <t>Valor Unit.</t>
  </si>
  <si>
    <t>Berçario I</t>
  </si>
  <si>
    <t>Maternal I</t>
  </si>
  <si>
    <t>3.1.</t>
  </si>
  <si>
    <t>Serviços Contábeis</t>
  </si>
  <si>
    <t>3.5.</t>
  </si>
  <si>
    <t>AUXILIAR DE LIMPEZA</t>
  </si>
  <si>
    <t>3.3.</t>
  </si>
  <si>
    <t>COORDENADOR PEDAGÓGICO</t>
  </si>
  <si>
    <t>AUXILIAR ADM</t>
  </si>
  <si>
    <t>AUXILIAR DE CLASSE</t>
  </si>
  <si>
    <t>PROFISSIONAL DE APOIO</t>
  </si>
  <si>
    <t>SOROCABA - EDUCAÇÃO INFANTIL - MARIA APARECIDA</t>
  </si>
  <si>
    <t>Maternal II</t>
  </si>
  <si>
    <t>Maternal III</t>
  </si>
  <si>
    <t>DISSIDIO</t>
  </si>
  <si>
    <t>Material Expediente</t>
  </si>
  <si>
    <t>Material Pedagógico</t>
  </si>
  <si>
    <t>2.3.</t>
  </si>
  <si>
    <t>Materiais para pequenos reparos/manutenção</t>
  </si>
  <si>
    <t>2.4.</t>
  </si>
  <si>
    <t>Materiais de limpeza e higiene</t>
  </si>
  <si>
    <t>Serviços de Manutenção de Equipamentos</t>
  </si>
  <si>
    <t>Serviços de Locação de Equipamentos</t>
  </si>
  <si>
    <t>Serviços de Manutenção e Pequenos Reparos Predial</t>
  </si>
  <si>
    <t>Exames  Ocupacionais  (Admissão/Demissão/Periódico/PPRA E PCMSO),  Uniformes de Segurança (EPI`S), Aquisição de Brinquedos  Pedagógicos, Aquisição de Utensílios de Cozinha, Aquisição de Materiais de Informatica Ex Tonners, Aquisição de Espelhos,  Aquisição de Tecidos,  Aquisição de Tapetes, Colchões, Colchonetes,  Cortinas,  Capa para Colchão, Serviços de Fotocópias,Correios,Chaveiro,Revelação Fotografias,Serviços Gráficos, Assinatura de Jornais e   Revistas  de  Cunho  Educacional,  Aquisição  e   Manutenção   de    Equipamentos,   Eletrodomésticos   e   Eletroeletrônico, Locação e Manutenção   de   Imóveis,   Aquisição, Locação e Manutenção  de     Mobiliário,     Aquisição    e    Manutenção   de    Equipamentos    de  Informática,  Manutenção  e  Aquisição  de  Relógio de  Ponto, Impostos e Taxas, Combustiveis e Outras Despesas Indiretas.</t>
  </si>
  <si>
    <t>Quantidade</t>
  </si>
  <si>
    <t>Carga horária</t>
  </si>
  <si>
    <t>Provisão</t>
  </si>
  <si>
    <t>Previdncia e FGTS</t>
  </si>
  <si>
    <t>Cargo/Função</t>
  </si>
  <si>
    <t>Custo total Mensal</t>
  </si>
  <si>
    <t>Custo total Anual</t>
  </si>
  <si>
    <t>ADITAMENTO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</si>
</sst>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R$&quot;\ * #,##0.00_-;\-&quot;R$&quot;\ * #,##0.00_-;_-&quot;R$&quot;\ * &quot;-&quot;??_-;_-@_-"/>
    <numFmt numFmtId="43" formatCode="_-* #,##0.00_-;\-* #,##0.00_-;_-* &quot;-&quot;??_-;_-@_-"/>
    <numFmt numFmtId="164" formatCode="_-&quot;R$&quot;* #,##0.00_-;\-&quot;R$&quot;* #,##0.00_-;_-&quot;R$&quot;* &quot;-&quot;??_-;_-@_-"/>
    <numFmt numFmtId="165" formatCode="0.0%"/>
  </numFmts>
  <fonts count="28"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8"/>
      <name val="Calibri"/>
      <family val="2"/>
      <scheme val="minor"/>
    </font>
    <font>
      <b/>
      <sz val="14"/>
      <color theme="1"/>
      <name val="Calibri"/>
      <family val="2"/>
      <scheme val="minor"/>
    </font>
    <font>
      <sz val="9"/>
      <color theme="1"/>
      <name val="Calibri"/>
      <family val="2"/>
      <scheme val="minor"/>
    </font>
    <font>
      <sz val="11"/>
      <color theme="0"/>
      <name val="Calibri"/>
      <family val="2"/>
      <scheme val="minor"/>
    </font>
    <font>
      <b/>
      <sz val="10"/>
      <color rgb="FF000000"/>
      <name val="Arial"/>
      <family val="2"/>
      <charset val="1"/>
    </font>
    <font>
      <sz val="10"/>
      <color rgb="FF000000"/>
      <name val="Arial"/>
      <family val="2"/>
      <charset val="1"/>
    </font>
    <font>
      <u/>
      <sz val="11"/>
      <color theme="10"/>
      <name val="Calibri"/>
      <family val="2"/>
      <scheme val="minor"/>
    </font>
    <font>
      <u/>
      <sz val="11"/>
      <color theme="11"/>
      <name val="Calibri"/>
      <family val="2"/>
      <scheme val="minor"/>
    </font>
    <font>
      <b/>
      <sz val="11"/>
      <color theme="0"/>
      <name val="Arial"/>
      <family val="2"/>
    </font>
    <font>
      <b/>
      <sz val="12"/>
      <name val="Calibri"/>
      <family val="2"/>
      <scheme val="minor"/>
    </font>
    <font>
      <b/>
      <i/>
      <sz val="11"/>
      <color theme="0"/>
      <name val="Calibri"/>
      <family val="2"/>
      <scheme val="minor"/>
    </font>
    <font>
      <b/>
      <i/>
      <sz val="12"/>
      <color theme="0"/>
      <name val="Calibri"/>
      <family val="2"/>
      <scheme val="minor"/>
    </font>
    <font>
      <sz val="10"/>
      <color rgb="FF000000"/>
      <name val="Arial"/>
      <family val="2"/>
    </font>
    <font>
      <b/>
      <i/>
      <sz val="9"/>
      <name val="Calibri"/>
      <family val="2"/>
      <scheme val="minor"/>
    </font>
    <font>
      <sz val="8"/>
      <color theme="1"/>
      <name val="Calibri"/>
      <family val="2"/>
      <scheme val="minor"/>
    </font>
    <font>
      <b/>
      <sz val="10"/>
      <color rgb="FF000000"/>
      <name val="Arial"/>
      <family val="2"/>
    </font>
    <font>
      <b/>
      <sz val="8"/>
      <color theme="1"/>
      <name val="Calibri"/>
      <family val="2"/>
      <scheme val="minor"/>
    </font>
    <font>
      <sz val="11"/>
      <name val="Calibri"/>
      <family val="2"/>
      <scheme val="minor"/>
    </font>
    <font>
      <b/>
      <sz val="8"/>
      <color rgb="FFFF0000"/>
      <name val="Calibri"/>
      <family val="2"/>
      <scheme val="minor"/>
    </font>
    <font>
      <b/>
      <sz val="9"/>
      <color rgb="FF221F1F"/>
      <name val="Arial"/>
      <family val="2"/>
    </font>
    <font>
      <sz val="8"/>
      <color theme="1"/>
      <name val="Calibri"/>
      <family val="2"/>
    </font>
    <font>
      <b/>
      <sz val="8"/>
      <color theme="1"/>
      <name val="Calibri"/>
      <family val="2"/>
    </font>
    <font>
      <b/>
      <sz val="8"/>
      <color rgb="FF221F1F"/>
      <name val="Calibri"/>
      <family val="2"/>
    </font>
  </fonts>
  <fills count="14">
    <fill>
      <patternFill patternType="none"/>
    </fill>
    <fill>
      <patternFill patternType="gray125"/>
    </fill>
    <fill>
      <patternFill patternType="solid">
        <fgColor theme="4"/>
        <bgColor indexed="64"/>
      </patternFill>
    </fill>
    <fill>
      <patternFill patternType="solid">
        <fgColor theme="3"/>
        <bgColor indexed="64"/>
      </patternFill>
    </fill>
    <fill>
      <patternFill patternType="solid">
        <fgColor theme="3"/>
        <bgColor rgb="FF9999FF"/>
      </patternFill>
    </fill>
    <fill>
      <patternFill patternType="solid">
        <fgColor theme="3" tint="0.79998168889431442"/>
        <bgColor rgb="FFCCFFFF"/>
      </patternFill>
    </fill>
    <fill>
      <patternFill patternType="solid">
        <fgColor theme="0"/>
        <bgColor rgb="FFCCFFFF"/>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rgb="FFA7A9AC"/>
        <bgColor indexed="64"/>
      </patternFill>
    </fill>
    <fill>
      <patternFill patternType="solid">
        <fgColor rgb="FFF0F1F1"/>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medium">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double">
        <color auto="1"/>
      </bottom>
      <diagonal/>
    </border>
    <border>
      <left/>
      <right style="thin">
        <color auto="1"/>
      </right>
      <top/>
      <bottom style="medium">
        <color auto="1"/>
      </bottom>
      <diagonal/>
    </border>
    <border>
      <left style="medium">
        <color auto="1"/>
      </left>
      <right/>
      <top style="thin">
        <color auto="1"/>
      </top>
      <bottom style="double">
        <color auto="1"/>
      </bottom>
      <diagonal/>
    </border>
    <border>
      <left style="medium">
        <color indexed="64"/>
      </left>
      <right style="dotted">
        <color rgb="FF221F1F"/>
      </right>
      <top style="medium">
        <color indexed="64"/>
      </top>
      <bottom style="medium">
        <color indexed="64"/>
      </bottom>
      <diagonal/>
    </border>
    <border>
      <left/>
      <right style="dotted">
        <color rgb="FF221F1F"/>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rgb="FF221F1F"/>
      </right>
      <top style="medium">
        <color indexed="64"/>
      </top>
      <bottom style="dotted">
        <color indexed="64"/>
      </bottom>
      <diagonal/>
    </border>
    <border>
      <left/>
      <right style="dotted">
        <color rgb="FF221F1F"/>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rgb="FF221F1F"/>
      </right>
      <top style="dotted">
        <color indexed="64"/>
      </top>
      <bottom style="dotted">
        <color indexed="64"/>
      </bottom>
      <diagonal/>
    </border>
    <border>
      <left/>
      <right style="dotted">
        <color rgb="FF221F1F"/>
      </right>
      <top style="dotted">
        <color indexed="64"/>
      </top>
      <bottom style="dotted">
        <color indexed="64"/>
      </bottom>
      <diagonal/>
    </border>
    <border>
      <left/>
      <right style="medium">
        <color indexed="64"/>
      </right>
      <top style="dotted">
        <color indexed="64"/>
      </top>
      <bottom style="dotted">
        <color indexed="64"/>
      </bottom>
      <diagonal/>
    </border>
    <border>
      <left/>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s>
  <cellStyleXfs count="633">
    <xf numFmtId="0" fontId="0" fillId="0" borderId="0"/>
    <xf numFmtId="43" fontId="2" fillId="0" borderId="0" applyFont="0" applyFill="0" applyBorder="0" applyAlignment="0" applyProtection="0"/>
    <xf numFmtId="164" fontId="2"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153">
    <xf numFmtId="0" fontId="0" fillId="0" borderId="0" xfId="0"/>
    <xf numFmtId="43" fontId="0" fillId="0" borderId="0" xfId="1" applyFont="1"/>
    <xf numFmtId="0" fontId="7" fillId="0" borderId="0" xfId="0" applyFont="1"/>
    <xf numFmtId="0" fontId="10" fillId="0" borderId="13" xfId="0" applyFont="1" applyBorder="1" applyAlignment="1">
      <alignment horizontal="left" vertical="center" wrapText="1" indent="1"/>
    </xf>
    <xf numFmtId="0" fontId="10" fillId="0" borderId="1" xfId="0" applyFont="1" applyBorder="1" applyAlignment="1">
      <alignment vertical="center" wrapText="1"/>
    </xf>
    <xf numFmtId="0" fontId="8" fillId="0" borderId="0" xfId="0" applyFont="1"/>
    <xf numFmtId="0" fontId="4" fillId="0" borderId="1" xfId="0" applyFont="1" applyBorder="1"/>
    <xf numFmtId="2" fontId="4" fillId="0" borderId="1" xfId="0" applyNumberFormat="1" applyFont="1" applyBorder="1"/>
    <xf numFmtId="43" fontId="4" fillId="0" borderId="1" xfId="1" applyFont="1" applyFill="1" applyBorder="1"/>
    <xf numFmtId="43" fontId="4" fillId="0" borderId="1" xfId="0" applyNumberFormat="1" applyFont="1" applyBorder="1"/>
    <xf numFmtId="164" fontId="0" fillId="0" borderId="0" xfId="0" applyNumberFormat="1"/>
    <xf numFmtId="0" fontId="0" fillId="0" borderId="0" xfId="0" applyAlignment="1">
      <alignment horizontal="center"/>
    </xf>
    <xf numFmtId="164" fontId="10" fillId="0" borderId="1" xfId="2" applyFont="1" applyBorder="1" applyAlignment="1">
      <alignment vertical="center" wrapText="1"/>
    </xf>
    <xf numFmtId="164" fontId="10" fillId="0" borderId="14" xfId="2" applyFont="1" applyBorder="1" applyAlignment="1">
      <alignment vertical="center" wrapText="1"/>
    </xf>
    <xf numFmtId="0" fontId="14" fillId="0" borderId="0" xfId="0" applyFont="1"/>
    <xf numFmtId="0" fontId="15" fillId="3" borderId="1" xfId="0" applyFont="1" applyFill="1" applyBorder="1" applyAlignment="1">
      <alignment horizontal="center"/>
    </xf>
    <xf numFmtId="43" fontId="15" fillId="3" borderId="1" xfId="1" applyFont="1" applyFill="1" applyBorder="1" applyAlignment="1">
      <alignment horizontal="center"/>
    </xf>
    <xf numFmtId="43" fontId="16" fillId="2" borderId="3" xfId="1" applyFont="1" applyFill="1" applyBorder="1"/>
    <xf numFmtId="0" fontId="15" fillId="0" borderId="0" xfId="0" applyFont="1"/>
    <xf numFmtId="0" fontId="13" fillId="4" borderId="8" xfId="0" applyFont="1" applyFill="1" applyBorder="1" applyAlignment="1">
      <alignment horizontal="center" vertical="center"/>
    </xf>
    <xf numFmtId="0" fontId="13" fillId="4" borderId="9" xfId="0" applyFont="1" applyFill="1" applyBorder="1" applyAlignment="1">
      <alignment horizontal="center" vertical="center"/>
    </xf>
    <xf numFmtId="164" fontId="9" fillId="5" borderId="11" xfId="2" applyFont="1" applyFill="1" applyBorder="1" applyAlignment="1">
      <alignment vertical="center" wrapText="1"/>
    </xf>
    <xf numFmtId="164" fontId="9" fillId="5" borderId="12" xfId="2" applyFont="1" applyFill="1" applyBorder="1" applyAlignment="1">
      <alignment vertical="center" wrapText="1"/>
    </xf>
    <xf numFmtId="164" fontId="9" fillId="5" borderId="6" xfId="2" applyFont="1" applyFill="1" applyBorder="1" applyAlignment="1">
      <alignment vertical="center" wrapText="1"/>
    </xf>
    <xf numFmtId="164" fontId="9" fillId="5" borderId="16" xfId="2" applyFont="1" applyFill="1" applyBorder="1" applyAlignment="1">
      <alignment vertical="center" wrapText="1"/>
    </xf>
    <xf numFmtId="164" fontId="9" fillId="5" borderId="17" xfId="2" applyFont="1" applyFill="1" applyBorder="1" applyAlignment="1">
      <alignment vertical="center" wrapText="1"/>
    </xf>
    <xf numFmtId="0" fontId="9" fillId="5" borderId="1" xfId="0" applyFont="1" applyFill="1" applyBorder="1" applyAlignment="1">
      <alignment vertical="center" wrapText="1"/>
    </xf>
    <xf numFmtId="0" fontId="17" fillId="6" borderId="1" xfId="0" applyFont="1" applyFill="1" applyBorder="1" applyAlignment="1">
      <alignment vertical="center" wrapText="1"/>
    </xf>
    <xf numFmtId="0" fontId="10" fillId="6" borderId="1" xfId="0" applyFont="1" applyFill="1" applyBorder="1" applyAlignment="1">
      <alignment vertical="center" wrapText="1"/>
    </xf>
    <xf numFmtId="43" fontId="0" fillId="0" borderId="1" xfId="1" applyFont="1" applyBorder="1"/>
    <xf numFmtId="43" fontId="0" fillId="0" borderId="0" xfId="1" applyFont="1" applyBorder="1"/>
    <xf numFmtId="43" fontId="13" fillId="4" borderId="7" xfId="1" applyFont="1" applyFill="1" applyBorder="1" applyAlignment="1">
      <alignment horizontal="center" vertical="center"/>
    </xf>
    <xf numFmtId="43" fontId="0" fillId="7" borderId="1" xfId="0" applyNumberFormat="1" applyFill="1" applyBorder="1"/>
    <xf numFmtId="43" fontId="10" fillId="6" borderId="1" xfId="0" applyNumberFormat="1" applyFont="1" applyFill="1" applyBorder="1" applyAlignment="1">
      <alignment vertical="center" wrapText="1"/>
    </xf>
    <xf numFmtId="43" fontId="0" fillId="0" borderId="1" xfId="0" applyNumberFormat="1" applyBorder="1"/>
    <xf numFmtId="43" fontId="9" fillId="5" borderId="1" xfId="1" applyFont="1" applyFill="1" applyBorder="1" applyAlignment="1">
      <alignment vertical="center" wrapText="1"/>
    </xf>
    <xf numFmtId="43" fontId="9" fillId="5" borderId="1" xfId="0" applyNumberFormat="1" applyFont="1" applyFill="1" applyBorder="1" applyAlignment="1">
      <alignment vertical="center" wrapText="1"/>
    </xf>
    <xf numFmtId="9" fontId="9" fillId="6" borderId="33" xfId="631" applyFont="1" applyFill="1" applyBorder="1" applyAlignment="1">
      <alignment vertical="center" wrapText="1"/>
    </xf>
    <xf numFmtId="0" fontId="3" fillId="0" borderId="0" xfId="0" applyFont="1"/>
    <xf numFmtId="9" fontId="3" fillId="0" borderId="0" xfId="631" applyFont="1" applyBorder="1"/>
    <xf numFmtId="9" fontId="3" fillId="8" borderId="0" xfId="631" applyFont="1" applyFill="1" applyBorder="1"/>
    <xf numFmtId="165" fontId="3" fillId="8" borderId="0" xfId="631" applyNumberFormat="1" applyFont="1" applyFill="1"/>
    <xf numFmtId="165" fontId="18" fillId="8" borderId="0" xfId="631" applyNumberFormat="1" applyFont="1" applyFill="1"/>
    <xf numFmtId="0" fontId="9" fillId="5" borderId="35" xfId="0" applyFont="1" applyFill="1" applyBorder="1" applyAlignment="1">
      <alignment horizontal="center" vertical="center" wrapText="1"/>
    </xf>
    <xf numFmtId="164" fontId="9" fillId="5" borderId="34" xfId="2" applyFont="1" applyFill="1" applyBorder="1" applyAlignment="1">
      <alignment vertical="center" wrapText="1"/>
    </xf>
    <xf numFmtId="43" fontId="19" fillId="0" borderId="0" xfId="1" applyFont="1"/>
    <xf numFmtId="10" fontId="0" fillId="0" borderId="0" xfId="631" applyNumberFormat="1" applyFont="1"/>
    <xf numFmtId="165" fontId="0" fillId="0" borderId="0" xfId="631" applyNumberFormat="1" applyFont="1"/>
    <xf numFmtId="0" fontId="4" fillId="0" borderId="1" xfId="0" applyFont="1" applyBorder="1" applyAlignment="1">
      <alignment horizontal="center"/>
    </xf>
    <xf numFmtId="0" fontId="10" fillId="0" borderId="18" xfId="0" applyFont="1" applyBorder="1" applyAlignment="1">
      <alignment horizontal="left" vertical="center" wrapText="1" indent="1"/>
    </xf>
    <xf numFmtId="0" fontId="10" fillId="0" borderId="6" xfId="0" applyFont="1" applyBorder="1" applyAlignment="1">
      <alignment vertical="center" wrapText="1"/>
    </xf>
    <xf numFmtId="164" fontId="10" fillId="0" borderId="6" xfId="2" applyFont="1" applyBorder="1" applyAlignment="1">
      <alignment vertical="center" wrapText="1"/>
    </xf>
    <xf numFmtId="164" fontId="10" fillId="0" borderId="21" xfId="2" applyFont="1" applyBorder="1" applyAlignment="1">
      <alignment vertical="center" wrapText="1"/>
    </xf>
    <xf numFmtId="0" fontId="13" fillId="4" borderId="7" xfId="0" applyFont="1" applyFill="1" applyBorder="1" applyAlignment="1">
      <alignment horizontal="center" vertical="center"/>
    </xf>
    <xf numFmtId="0" fontId="0" fillId="0" borderId="0" xfId="0" applyAlignment="1">
      <alignment horizontal="left"/>
    </xf>
    <xf numFmtId="43" fontId="0" fillId="0" borderId="1" xfId="1" applyFont="1" applyFill="1" applyBorder="1"/>
    <xf numFmtId="44" fontId="3" fillId="0" borderId="0" xfId="0" applyNumberFormat="1" applyFont="1"/>
    <xf numFmtId="164" fontId="9" fillId="5" borderId="37" xfId="2" applyFont="1" applyFill="1" applyBorder="1" applyAlignment="1">
      <alignment vertical="center" wrapText="1"/>
    </xf>
    <xf numFmtId="164" fontId="9" fillId="5" borderId="36" xfId="2" applyFont="1" applyFill="1" applyBorder="1" applyAlignment="1">
      <alignment vertical="center" wrapText="1"/>
    </xf>
    <xf numFmtId="43" fontId="20" fillId="5" borderId="1" xfId="1" applyFont="1" applyFill="1" applyBorder="1" applyAlignment="1">
      <alignment horizontal="center" vertical="center" wrapText="1"/>
    </xf>
    <xf numFmtId="0" fontId="10" fillId="0" borderId="1" xfId="0" applyFont="1" applyBorder="1" applyAlignment="1">
      <alignment horizontal="center" vertical="center" wrapText="1"/>
    </xf>
    <xf numFmtId="0" fontId="21" fillId="9" borderId="1" xfId="0" applyFont="1" applyFill="1" applyBorder="1" applyAlignment="1">
      <alignment horizontal="center" vertical="center"/>
    </xf>
    <xf numFmtId="0" fontId="21" fillId="9" borderId="1" xfId="0" applyFont="1" applyFill="1" applyBorder="1" applyAlignment="1">
      <alignment horizontal="center" vertical="center" wrapText="1"/>
    </xf>
    <xf numFmtId="43" fontId="21" fillId="9" borderId="6" xfId="1" applyFont="1" applyFill="1" applyBorder="1"/>
    <xf numFmtId="43" fontId="21" fillId="9" borderId="6" xfId="0" applyNumberFormat="1" applyFont="1" applyFill="1" applyBorder="1"/>
    <xf numFmtId="164" fontId="4" fillId="0" borderId="1" xfId="2" applyFont="1" applyFill="1" applyBorder="1"/>
    <xf numFmtId="43" fontId="10" fillId="0" borderId="1" xfId="0" applyNumberFormat="1" applyFont="1" applyBorder="1" applyAlignment="1">
      <alignment vertical="center" wrapText="1"/>
    </xf>
    <xf numFmtId="43" fontId="0" fillId="11" borderId="1" xfId="0" applyNumberFormat="1" applyFill="1" applyBorder="1"/>
    <xf numFmtId="0" fontId="13" fillId="4" borderId="38" xfId="0" applyFont="1" applyFill="1" applyBorder="1" applyAlignment="1">
      <alignment horizontal="center" vertical="center"/>
    </xf>
    <xf numFmtId="0" fontId="9" fillId="5" borderId="39" xfId="0" applyFont="1" applyFill="1" applyBorder="1" applyAlignment="1">
      <alignment vertical="center" wrapText="1"/>
    </xf>
    <xf numFmtId="0" fontId="9" fillId="5" borderId="22" xfId="0" applyFont="1" applyFill="1" applyBorder="1" applyAlignment="1">
      <alignment vertical="center" wrapText="1"/>
    </xf>
    <xf numFmtId="0" fontId="9" fillId="5" borderId="40" xfId="0" applyFont="1" applyFill="1" applyBorder="1" applyAlignment="1">
      <alignment vertical="center" wrapText="1"/>
    </xf>
    <xf numFmtId="0" fontId="9" fillId="5" borderId="41" xfId="0" applyFont="1" applyFill="1" applyBorder="1" applyAlignment="1">
      <alignment horizontal="center" vertical="center" wrapText="1"/>
    </xf>
    <xf numFmtId="0" fontId="9" fillId="5" borderId="37" xfId="0" applyFont="1" applyFill="1" applyBorder="1" applyAlignment="1">
      <alignment vertical="center" wrapText="1"/>
    </xf>
    <xf numFmtId="0" fontId="17" fillId="0" borderId="1" xfId="0" applyFont="1" applyBorder="1" applyAlignment="1">
      <alignment vertical="center" wrapText="1"/>
    </xf>
    <xf numFmtId="1" fontId="0" fillId="0" borderId="0" xfId="0" applyNumberFormat="1" applyAlignment="1">
      <alignment horizontal="center"/>
    </xf>
    <xf numFmtId="1" fontId="3" fillId="0" borderId="0" xfId="0" applyNumberFormat="1" applyFont="1" applyAlignment="1">
      <alignment horizontal="center"/>
    </xf>
    <xf numFmtId="43" fontId="21" fillId="9" borderId="1" xfId="0" applyNumberFormat="1" applyFont="1" applyFill="1" applyBorder="1"/>
    <xf numFmtId="0" fontId="21" fillId="0" borderId="0" xfId="0" applyFont="1" applyAlignment="1">
      <alignment horizontal="center" vertical="center" wrapText="1"/>
    </xf>
    <xf numFmtId="43" fontId="21" fillId="0" borderId="0" xfId="0" applyNumberFormat="1" applyFont="1"/>
    <xf numFmtId="0" fontId="16" fillId="2" borderId="6" xfId="0" applyFont="1" applyFill="1" applyBorder="1"/>
    <xf numFmtId="0" fontId="16" fillId="2" borderId="5" xfId="0" applyFont="1" applyFill="1" applyBorder="1"/>
    <xf numFmtId="43" fontId="16" fillId="2" borderId="5" xfId="1" applyFont="1" applyFill="1" applyBorder="1"/>
    <xf numFmtId="10" fontId="23" fillId="9" borderId="1" xfId="631" applyNumberFormat="1" applyFont="1" applyFill="1" applyBorder="1" applyAlignment="1">
      <alignment horizontal="center" vertical="center"/>
    </xf>
    <xf numFmtId="0" fontId="24" fillId="12" borderId="43" xfId="0" applyFont="1" applyFill="1" applyBorder="1" applyAlignment="1">
      <alignment horizontal="center" vertical="center" textRotation="90" wrapText="1"/>
    </xf>
    <xf numFmtId="0" fontId="24" fillId="12" borderId="44" xfId="0" applyFont="1" applyFill="1" applyBorder="1" applyAlignment="1">
      <alignment horizontal="center" vertical="center" textRotation="90" wrapText="1"/>
    </xf>
    <xf numFmtId="0" fontId="24" fillId="12" borderId="45" xfId="0" applyFont="1" applyFill="1" applyBorder="1" applyAlignment="1">
      <alignment horizontal="center" vertical="center" textRotation="90" wrapText="1"/>
    </xf>
    <xf numFmtId="0" fontId="25" fillId="13" borderId="46" xfId="0" applyFont="1" applyFill="1" applyBorder="1" applyAlignment="1">
      <alignment horizontal="center" vertical="center" wrapText="1"/>
    </xf>
    <xf numFmtId="0" fontId="25" fillId="13" borderId="47" xfId="0" applyFont="1" applyFill="1" applyBorder="1" applyAlignment="1">
      <alignment horizontal="center" vertical="center" wrapText="1"/>
    </xf>
    <xf numFmtId="43" fontId="25" fillId="13" borderId="47" xfId="1" applyFont="1" applyFill="1" applyBorder="1" applyAlignment="1">
      <alignment horizontal="center" vertical="center" wrapText="1"/>
    </xf>
    <xf numFmtId="4" fontId="25" fillId="13" borderId="47" xfId="0" applyNumberFormat="1" applyFont="1" applyFill="1" applyBorder="1" applyAlignment="1">
      <alignment horizontal="center" vertical="center" wrapText="1"/>
    </xf>
    <xf numFmtId="4" fontId="26" fillId="13" borderId="48" xfId="0" applyNumberFormat="1" applyFont="1" applyFill="1" applyBorder="1" applyAlignment="1">
      <alignment horizontal="center" vertical="center" wrapText="1"/>
    </xf>
    <xf numFmtId="0" fontId="25" fillId="13" borderId="49" xfId="0" applyFont="1" applyFill="1" applyBorder="1" applyAlignment="1">
      <alignment horizontal="center" vertical="center" wrapText="1"/>
    </xf>
    <xf numFmtId="0" fontId="25" fillId="13" borderId="50" xfId="0" applyFont="1" applyFill="1" applyBorder="1" applyAlignment="1">
      <alignment horizontal="center" vertical="center" wrapText="1"/>
    </xf>
    <xf numFmtId="43" fontId="25" fillId="13" borderId="50" xfId="1" applyFont="1" applyFill="1" applyBorder="1" applyAlignment="1">
      <alignment horizontal="center" vertical="center" wrapText="1"/>
    </xf>
    <xf numFmtId="4" fontId="25" fillId="13" borderId="50" xfId="0" applyNumberFormat="1" applyFont="1" applyFill="1" applyBorder="1" applyAlignment="1">
      <alignment horizontal="center" vertical="center" wrapText="1"/>
    </xf>
    <xf numFmtId="4" fontId="26" fillId="13" borderId="51" xfId="0" applyNumberFormat="1" applyFont="1" applyFill="1" applyBorder="1" applyAlignment="1">
      <alignment horizontal="center" vertical="center" wrapText="1"/>
    </xf>
    <xf numFmtId="4" fontId="26" fillId="13" borderId="44" xfId="0" applyNumberFormat="1" applyFont="1" applyFill="1" applyBorder="1" applyAlignment="1">
      <alignment horizontal="center" vertical="center" wrapText="1"/>
    </xf>
    <xf numFmtId="4" fontId="26" fillId="13" borderId="45" xfId="0" applyNumberFormat="1" applyFont="1" applyFill="1" applyBorder="1" applyAlignment="1">
      <alignment horizontal="center" vertical="center" wrapText="1"/>
    </xf>
    <xf numFmtId="0" fontId="27" fillId="13" borderId="53" xfId="0" applyFont="1" applyFill="1" applyBorder="1" applyAlignment="1">
      <alignment horizontal="center" vertical="center" wrapText="1"/>
    </xf>
    <xf numFmtId="4" fontId="26" fillId="0" borderId="0" xfId="0" applyNumberFormat="1" applyFont="1" applyAlignment="1">
      <alignment horizontal="center" vertical="center" wrapText="1"/>
    </xf>
    <xf numFmtId="0" fontId="8" fillId="0" borderId="0" xfId="0" applyFont="1" applyAlignment="1">
      <alignment horizontal="center"/>
    </xf>
    <xf numFmtId="1" fontId="8" fillId="0" borderId="0" xfId="1" applyNumberFormat="1" applyFont="1" applyAlignment="1">
      <alignment horizontal="center"/>
    </xf>
    <xf numFmtId="1" fontId="8" fillId="0" borderId="0" xfId="0" applyNumberFormat="1" applyFont="1" applyAlignment="1">
      <alignment horizontal="center"/>
    </xf>
    <xf numFmtId="43" fontId="0" fillId="0" borderId="0" xfId="0" applyNumberFormat="1"/>
    <xf numFmtId="0" fontId="22" fillId="0" borderId="0" xfId="0" applyFont="1" applyAlignment="1">
      <alignment horizontal="center"/>
    </xf>
    <xf numFmtId="0" fontId="9" fillId="5" borderId="23" xfId="0" applyFont="1" applyFill="1" applyBorder="1" applyAlignment="1">
      <alignment horizontal="center" vertical="center" wrapText="1"/>
    </xf>
    <xf numFmtId="0" fontId="13" fillId="4" borderId="7" xfId="0" applyFont="1" applyFill="1" applyBorder="1" applyAlignment="1">
      <alignment horizontal="center" vertical="center"/>
    </xf>
    <xf numFmtId="0" fontId="9" fillId="5" borderId="10" xfId="0" applyFont="1" applyFill="1" applyBorder="1" applyAlignment="1">
      <alignment vertical="center" wrapText="1"/>
    </xf>
    <xf numFmtId="0" fontId="9" fillId="5" borderId="18" xfId="0" applyFont="1" applyFill="1" applyBorder="1" applyAlignment="1">
      <alignment vertical="center" wrapText="1"/>
    </xf>
    <xf numFmtId="0" fontId="9" fillId="5" borderId="15" xfId="0" applyFont="1" applyFill="1" applyBorder="1" applyAlignment="1">
      <alignment vertical="center" wrapText="1"/>
    </xf>
    <xf numFmtId="0" fontId="9" fillId="5" borderId="42" xfId="0" applyFont="1" applyFill="1" applyBorder="1" applyAlignment="1">
      <alignment vertical="center" wrapText="1"/>
    </xf>
    <xf numFmtId="0" fontId="13" fillId="4" borderId="25" xfId="0" applyFont="1" applyFill="1" applyBorder="1" applyAlignment="1">
      <alignment horizontal="center" vertical="center"/>
    </xf>
    <xf numFmtId="0" fontId="13" fillId="4" borderId="19" xfId="0" applyFont="1" applyFill="1" applyBorder="1" applyAlignment="1">
      <alignment horizontal="center" vertical="center"/>
    </xf>
    <xf numFmtId="0" fontId="13" fillId="4" borderId="20" xfId="0" applyFont="1" applyFill="1" applyBorder="1" applyAlignment="1">
      <alignment horizontal="center" vertical="center"/>
    </xf>
    <xf numFmtId="0" fontId="6" fillId="0" borderId="0" xfId="0" applyFont="1" applyAlignment="1">
      <alignment horizontal="center"/>
    </xf>
    <xf numFmtId="0" fontId="0" fillId="0" borderId="0" xfId="0" applyAlignment="1">
      <alignment horizontal="left"/>
    </xf>
    <xf numFmtId="0" fontId="1" fillId="0" borderId="0" xfId="0" applyFont="1" applyAlignment="1">
      <alignment horizontal="center"/>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13" fillId="4" borderId="26" xfId="0" applyFont="1" applyFill="1" applyBorder="1" applyAlignment="1">
      <alignment horizontal="center" vertical="center"/>
    </xf>
    <xf numFmtId="0" fontId="13" fillId="4" borderId="0" xfId="0" applyFont="1" applyFill="1" applyAlignment="1">
      <alignment horizontal="center" vertical="center"/>
    </xf>
    <xf numFmtId="0" fontId="9" fillId="5" borderId="26" xfId="0" applyFont="1" applyFill="1" applyBorder="1" applyAlignment="1">
      <alignment horizontal="left" vertical="center" wrapText="1"/>
    </xf>
    <xf numFmtId="0" fontId="9" fillId="5" borderId="0" xfId="0" applyFont="1" applyFill="1" applyAlignment="1">
      <alignment horizontal="left" vertical="center" wrapText="1"/>
    </xf>
    <xf numFmtId="0" fontId="9" fillId="5" borderId="2" xfId="0" applyFont="1" applyFill="1" applyBorder="1" applyAlignment="1">
      <alignment horizontal="left" vertical="center" wrapText="1"/>
    </xf>
    <xf numFmtId="0" fontId="9" fillId="5" borderId="4" xfId="0" applyFont="1" applyFill="1" applyBorder="1" applyAlignment="1">
      <alignment horizontal="left" vertical="center" wrapText="1"/>
    </xf>
    <xf numFmtId="0" fontId="0" fillId="10" borderId="2" xfId="0" applyFill="1" applyBorder="1" applyAlignment="1">
      <alignment horizontal="center"/>
    </xf>
    <xf numFmtId="0" fontId="0" fillId="10" borderId="3" xfId="0" applyFill="1" applyBorder="1" applyAlignment="1">
      <alignment horizontal="center"/>
    </xf>
    <xf numFmtId="0" fontId="0" fillId="10" borderId="4" xfId="0" applyFill="1" applyBorder="1" applyAlignment="1">
      <alignment horizontal="center"/>
    </xf>
    <xf numFmtId="0" fontId="13" fillId="4" borderId="27" xfId="0" applyFont="1" applyFill="1" applyBorder="1" applyAlignment="1">
      <alignment horizontal="center" vertical="center"/>
    </xf>
    <xf numFmtId="0" fontId="13" fillId="4" borderId="28" xfId="0" applyFont="1" applyFill="1" applyBorder="1" applyAlignment="1">
      <alignment horizontal="center" vertical="center"/>
    </xf>
    <xf numFmtId="0" fontId="9" fillId="5" borderId="1" xfId="0" applyFont="1" applyFill="1" applyBorder="1" applyAlignment="1">
      <alignment horizontal="left" vertical="center" wrapText="1"/>
    </xf>
    <xf numFmtId="43" fontId="9" fillId="5" borderId="2" xfId="1" applyFont="1" applyFill="1" applyBorder="1" applyAlignment="1">
      <alignment horizontal="center" vertical="center" wrapText="1"/>
    </xf>
    <xf numFmtId="43" fontId="9" fillId="5" borderId="3" xfId="1" applyFont="1" applyFill="1" applyBorder="1" applyAlignment="1">
      <alignment horizontal="center" vertical="center" wrapText="1"/>
    </xf>
    <xf numFmtId="43" fontId="9" fillId="5" borderId="4" xfId="1" applyFont="1" applyFill="1" applyBorder="1" applyAlignment="1">
      <alignment horizontal="center" vertical="center" wrapText="1"/>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5" xfId="0" applyBorder="1" applyAlignment="1">
      <alignment horizontal="center"/>
    </xf>
    <xf numFmtId="0" fontId="0" fillId="0" borderId="22" xfId="0" applyBorder="1" applyAlignment="1">
      <alignment horizontal="center"/>
    </xf>
    <xf numFmtId="0" fontId="0" fillId="0" borderId="1" xfId="0" applyBorder="1" applyAlignment="1">
      <alignment horizontal="center"/>
    </xf>
    <xf numFmtId="0" fontId="9" fillId="5" borderId="29" xfId="0" applyFont="1" applyFill="1" applyBorder="1" applyAlignment="1">
      <alignment horizontal="left" vertical="center" wrapText="1"/>
    </xf>
    <xf numFmtId="0" fontId="9" fillId="5" borderId="31" xfId="0" applyFont="1" applyFill="1" applyBorder="1" applyAlignment="1">
      <alignment horizontal="left" vertical="center" wrapText="1"/>
    </xf>
    <xf numFmtId="0" fontId="9" fillId="5" borderId="32" xfId="0" applyFont="1" applyFill="1" applyBorder="1" applyAlignment="1">
      <alignment horizontal="left" vertical="center" wrapText="1"/>
    </xf>
    <xf numFmtId="0" fontId="9" fillId="5" borderId="22" xfId="0" applyFont="1" applyFill="1" applyBorder="1" applyAlignment="1">
      <alignment horizontal="left" vertical="center" wrapText="1"/>
    </xf>
    <xf numFmtId="43" fontId="0" fillId="0" borderId="24" xfId="1" applyFont="1" applyBorder="1" applyAlignment="1">
      <alignment horizontal="center" vertical="center"/>
    </xf>
    <xf numFmtId="43" fontId="0" fillId="0" borderId="33" xfId="1" applyFont="1" applyBorder="1" applyAlignment="1">
      <alignment horizontal="center" vertical="center"/>
    </xf>
    <xf numFmtId="0" fontId="17" fillId="6" borderId="24" xfId="0" applyFont="1" applyFill="1" applyBorder="1" applyAlignment="1">
      <alignment horizontal="left" vertical="center" wrapText="1"/>
    </xf>
    <xf numFmtId="0" fontId="17" fillId="6" borderId="33" xfId="0" applyFont="1" applyFill="1" applyBorder="1" applyAlignment="1">
      <alignment horizontal="left" vertical="center" wrapText="1"/>
    </xf>
    <xf numFmtId="0" fontId="27" fillId="13" borderId="52" xfId="0" applyFont="1" applyFill="1" applyBorder="1" applyAlignment="1">
      <alignment horizontal="center" vertical="center" wrapText="1"/>
    </xf>
    <xf numFmtId="0" fontId="27" fillId="13" borderId="44" xfId="0" applyFont="1" applyFill="1" applyBorder="1" applyAlignment="1">
      <alignment horizontal="center" vertical="center" wrapText="1"/>
    </xf>
  </cellXfs>
  <cellStyles count="633">
    <cellStyle name="Hiperlink" xfId="185" builtinId="8" hidden="1"/>
    <cellStyle name="Hiperlink" xfId="193" builtinId="8" hidden="1"/>
    <cellStyle name="Hiperlink" xfId="201" builtinId="8" hidden="1"/>
    <cellStyle name="Hiperlink" xfId="209" builtinId="8" hidden="1"/>
    <cellStyle name="Hiperlink" xfId="217" builtinId="8" hidden="1"/>
    <cellStyle name="Hiperlink" xfId="225" builtinId="8" hidden="1"/>
    <cellStyle name="Hiperlink" xfId="233" builtinId="8" hidden="1"/>
    <cellStyle name="Hiperlink" xfId="241" builtinId="8" hidden="1"/>
    <cellStyle name="Hiperlink" xfId="249" builtinId="8" hidden="1"/>
    <cellStyle name="Hiperlink" xfId="257" builtinId="8" hidden="1"/>
    <cellStyle name="Hiperlink" xfId="265" builtinId="8" hidden="1"/>
    <cellStyle name="Hiperlink" xfId="273" builtinId="8" hidden="1"/>
    <cellStyle name="Hiperlink" xfId="281" builtinId="8" hidden="1"/>
    <cellStyle name="Hiperlink" xfId="289" builtinId="8" hidden="1"/>
    <cellStyle name="Hiperlink" xfId="297" builtinId="8" hidden="1"/>
    <cellStyle name="Hiperlink" xfId="305" builtinId="8" hidden="1"/>
    <cellStyle name="Hiperlink" xfId="313" builtinId="8" hidden="1"/>
    <cellStyle name="Hiperlink" xfId="321" builtinId="8" hidden="1"/>
    <cellStyle name="Hiperlink" xfId="329" builtinId="8" hidden="1"/>
    <cellStyle name="Hiperlink" xfId="337" builtinId="8" hidden="1"/>
    <cellStyle name="Hiperlink" xfId="345" builtinId="8" hidden="1"/>
    <cellStyle name="Hiperlink" xfId="353" builtinId="8" hidden="1"/>
    <cellStyle name="Hiperlink" xfId="361" builtinId="8" hidden="1"/>
    <cellStyle name="Hiperlink" xfId="369" builtinId="8" hidden="1"/>
    <cellStyle name="Hiperlink" xfId="377" builtinId="8" hidden="1"/>
    <cellStyle name="Hiperlink" xfId="385" builtinId="8" hidden="1"/>
    <cellStyle name="Hiperlink" xfId="393" builtinId="8" hidden="1"/>
    <cellStyle name="Hiperlink" xfId="401" builtinId="8" hidden="1"/>
    <cellStyle name="Hiperlink" xfId="409" builtinId="8" hidden="1"/>
    <cellStyle name="Hiperlink" xfId="417" builtinId="8" hidden="1"/>
    <cellStyle name="Hiperlink" xfId="425" builtinId="8" hidden="1"/>
    <cellStyle name="Hiperlink" xfId="433" builtinId="8" hidden="1"/>
    <cellStyle name="Hiperlink" xfId="441" builtinId="8" hidden="1"/>
    <cellStyle name="Hiperlink" xfId="449" builtinId="8" hidden="1"/>
    <cellStyle name="Hiperlink" xfId="457" builtinId="8" hidden="1"/>
    <cellStyle name="Hiperlink" xfId="465" builtinId="8" hidden="1"/>
    <cellStyle name="Hiperlink" xfId="473" builtinId="8" hidden="1"/>
    <cellStyle name="Hiperlink" xfId="481" builtinId="8" hidden="1"/>
    <cellStyle name="Hiperlink" xfId="489" builtinId="8" hidden="1"/>
    <cellStyle name="Hiperlink" xfId="497" builtinId="8" hidden="1"/>
    <cellStyle name="Hiperlink" xfId="505" builtinId="8" hidden="1"/>
    <cellStyle name="Hiperlink" xfId="513" builtinId="8" hidden="1"/>
    <cellStyle name="Hiperlink" xfId="521" builtinId="8" hidden="1"/>
    <cellStyle name="Hiperlink" xfId="529" builtinId="8" hidden="1"/>
    <cellStyle name="Hiperlink" xfId="537" builtinId="8" hidden="1"/>
    <cellStyle name="Hiperlink" xfId="545" builtinId="8" hidden="1"/>
    <cellStyle name="Hiperlink" xfId="553" builtinId="8" hidden="1"/>
    <cellStyle name="Hiperlink" xfId="561" builtinId="8" hidden="1"/>
    <cellStyle name="Hiperlink" xfId="569" builtinId="8" hidden="1"/>
    <cellStyle name="Hiperlink" xfId="577" builtinId="8" hidden="1"/>
    <cellStyle name="Hiperlink" xfId="585" builtinId="8" hidden="1"/>
    <cellStyle name="Hiperlink" xfId="593" builtinId="8" hidden="1"/>
    <cellStyle name="Hiperlink" xfId="601" builtinId="8" hidden="1"/>
    <cellStyle name="Hiperlink" xfId="609" builtinId="8" hidden="1"/>
    <cellStyle name="Hiperlink" xfId="617" builtinId="8" hidden="1"/>
    <cellStyle name="Hiperlink" xfId="625" builtinId="8" hidden="1"/>
    <cellStyle name="Hiperlink" xfId="627" builtinId="8" hidden="1"/>
    <cellStyle name="Hiperlink" xfId="619" builtinId="8" hidden="1"/>
    <cellStyle name="Hiperlink" xfId="611" builtinId="8" hidden="1"/>
    <cellStyle name="Hiperlink" xfId="603" builtinId="8" hidden="1"/>
    <cellStyle name="Hiperlink" xfId="595" builtinId="8" hidden="1"/>
    <cellStyle name="Hiperlink" xfId="587" builtinId="8" hidden="1"/>
    <cellStyle name="Hiperlink" xfId="579" builtinId="8" hidden="1"/>
    <cellStyle name="Hiperlink" xfId="571" builtinId="8" hidden="1"/>
    <cellStyle name="Hiperlink" xfId="563" builtinId="8" hidden="1"/>
    <cellStyle name="Hiperlink" xfId="555" builtinId="8" hidden="1"/>
    <cellStyle name="Hiperlink" xfId="547" builtinId="8" hidden="1"/>
    <cellStyle name="Hiperlink" xfId="539" builtinId="8" hidden="1"/>
    <cellStyle name="Hiperlink" xfId="531" builtinId="8" hidden="1"/>
    <cellStyle name="Hiperlink" xfId="523" builtinId="8" hidden="1"/>
    <cellStyle name="Hiperlink" xfId="515" builtinId="8" hidden="1"/>
    <cellStyle name="Hiperlink" xfId="507" builtinId="8" hidden="1"/>
    <cellStyle name="Hiperlink" xfId="499" builtinId="8" hidden="1"/>
    <cellStyle name="Hiperlink" xfId="491" builtinId="8" hidden="1"/>
    <cellStyle name="Hiperlink" xfId="483" builtinId="8" hidden="1"/>
    <cellStyle name="Hiperlink" xfId="475" builtinId="8" hidden="1"/>
    <cellStyle name="Hiperlink" xfId="467" builtinId="8" hidden="1"/>
    <cellStyle name="Hiperlink" xfId="459" builtinId="8" hidden="1"/>
    <cellStyle name="Hiperlink" xfId="451" builtinId="8" hidden="1"/>
    <cellStyle name="Hiperlink" xfId="443" builtinId="8" hidden="1"/>
    <cellStyle name="Hiperlink" xfId="435" builtinId="8" hidden="1"/>
    <cellStyle name="Hiperlink" xfId="427" builtinId="8" hidden="1"/>
    <cellStyle name="Hiperlink" xfId="419" builtinId="8" hidden="1"/>
    <cellStyle name="Hiperlink" xfId="411" builtinId="8" hidden="1"/>
    <cellStyle name="Hiperlink" xfId="403" builtinId="8" hidden="1"/>
    <cellStyle name="Hiperlink" xfId="395" builtinId="8" hidden="1"/>
    <cellStyle name="Hiperlink" xfId="387" builtinId="8" hidden="1"/>
    <cellStyle name="Hiperlink" xfId="379" builtinId="8" hidden="1"/>
    <cellStyle name="Hiperlink" xfId="371" builtinId="8" hidden="1"/>
    <cellStyle name="Hiperlink" xfId="363" builtinId="8" hidden="1"/>
    <cellStyle name="Hiperlink" xfId="355" builtinId="8" hidden="1"/>
    <cellStyle name="Hiperlink" xfId="347" builtinId="8" hidden="1"/>
    <cellStyle name="Hiperlink" xfId="339" builtinId="8" hidden="1"/>
    <cellStyle name="Hiperlink" xfId="331" builtinId="8" hidden="1"/>
    <cellStyle name="Hiperlink" xfId="323" builtinId="8" hidden="1"/>
    <cellStyle name="Hiperlink" xfId="315" builtinId="8" hidden="1"/>
    <cellStyle name="Hiperlink" xfId="307" builtinId="8" hidden="1"/>
    <cellStyle name="Hiperlink" xfId="299" builtinId="8" hidden="1"/>
    <cellStyle name="Hiperlink" xfId="291" builtinId="8" hidden="1"/>
    <cellStyle name="Hiperlink" xfId="283" builtinId="8" hidden="1"/>
    <cellStyle name="Hiperlink" xfId="275" builtinId="8" hidden="1"/>
    <cellStyle name="Hiperlink" xfId="267" builtinId="8" hidden="1"/>
    <cellStyle name="Hiperlink" xfId="259" builtinId="8" hidden="1"/>
    <cellStyle name="Hiperlink" xfId="251" builtinId="8" hidden="1"/>
    <cellStyle name="Hiperlink" xfId="243" builtinId="8" hidden="1"/>
    <cellStyle name="Hiperlink" xfId="235" builtinId="8" hidden="1"/>
    <cellStyle name="Hiperlink" xfId="227" builtinId="8" hidden="1"/>
    <cellStyle name="Hiperlink" xfId="219" builtinId="8" hidden="1"/>
    <cellStyle name="Hiperlink" xfId="211" builtinId="8" hidden="1"/>
    <cellStyle name="Hiperlink" xfId="203" builtinId="8" hidden="1"/>
    <cellStyle name="Hiperlink" xfId="195" builtinId="8" hidden="1"/>
    <cellStyle name="Hiperlink" xfId="187" builtinId="8" hidden="1"/>
    <cellStyle name="Hiperlink" xfId="179" builtinId="8" hidden="1"/>
    <cellStyle name="Hiperlink" xfId="171" builtinId="8" hidden="1"/>
    <cellStyle name="Hiperlink" xfId="163" builtinId="8" hidden="1"/>
    <cellStyle name="Hiperlink" xfId="155" builtinId="8" hidden="1"/>
    <cellStyle name="Hiperlink" xfId="147" builtinId="8" hidden="1"/>
    <cellStyle name="Hiperlink" xfId="139" builtinId="8" hidden="1"/>
    <cellStyle name="Hiperlink" xfId="131" builtinId="8" hidden="1"/>
    <cellStyle name="Hiperlink" xfId="123" builtinId="8" hidden="1"/>
    <cellStyle name="Hiperlink" xfId="115" builtinId="8" hidden="1"/>
    <cellStyle name="Hiperlink" xfId="107" builtinId="8" hidden="1"/>
    <cellStyle name="Hiperlink" xfId="99" builtinId="8" hidden="1"/>
    <cellStyle name="Hiperlink" xfId="91" builtinId="8" hidden="1"/>
    <cellStyle name="Hiperlink" xfId="83" builtinId="8" hidden="1"/>
    <cellStyle name="Hiperlink" xfId="75" builtinId="8" hidden="1"/>
    <cellStyle name="Hiperlink" xfId="67" builtinId="8" hidden="1"/>
    <cellStyle name="Hiperlink" xfId="23" builtinId="8" hidden="1"/>
    <cellStyle name="Hiperlink" xfId="29" builtinId="8" hidden="1"/>
    <cellStyle name="Hiperlink" xfId="33" builtinId="8" hidden="1"/>
    <cellStyle name="Hiperlink" xfId="39" builtinId="8" hidden="1"/>
    <cellStyle name="Hiperlink" xfId="45" builtinId="8" hidden="1"/>
    <cellStyle name="Hiperlink" xfId="49" builtinId="8" hidden="1"/>
    <cellStyle name="Hiperlink" xfId="55" builtinId="8" hidden="1"/>
    <cellStyle name="Hiperlink" xfId="61" builtinId="8" hidden="1"/>
    <cellStyle name="Hiperlink" xfId="51" builtinId="8" hidden="1"/>
    <cellStyle name="Hiperlink" xfId="35" builtinId="8" hidden="1"/>
    <cellStyle name="Hiperlink" xfId="11" builtinId="8" hidden="1"/>
    <cellStyle name="Hiperlink" xfId="15" builtinId="8" hidden="1"/>
    <cellStyle name="Hiperlink" xfId="21" builtinId="8" hidden="1"/>
    <cellStyle name="Hiperlink" xfId="7" builtinId="8" hidden="1"/>
    <cellStyle name="Hiperlink" xfId="5" builtinId="8" hidden="1"/>
    <cellStyle name="Hiperlink" xfId="3" builtinId="8" hidden="1"/>
    <cellStyle name="Hiperlink" xfId="9" builtinId="8" hidden="1"/>
    <cellStyle name="Hiperlink" xfId="19" builtinId="8" hidden="1"/>
    <cellStyle name="Hiperlink" xfId="17" builtinId="8" hidden="1"/>
    <cellStyle name="Hiperlink" xfId="13" builtinId="8" hidden="1"/>
    <cellStyle name="Hiperlink" xfId="27" builtinId="8" hidden="1"/>
    <cellStyle name="Hiperlink" xfId="43" builtinId="8" hidden="1"/>
    <cellStyle name="Hiperlink" xfId="59" builtinId="8" hidden="1"/>
    <cellStyle name="Hiperlink" xfId="57" builtinId="8" hidden="1"/>
    <cellStyle name="Hiperlink" xfId="53" builtinId="8" hidden="1"/>
    <cellStyle name="Hiperlink" xfId="47" builtinId="8" hidden="1"/>
    <cellStyle name="Hiperlink" xfId="41" builtinId="8" hidden="1"/>
    <cellStyle name="Hiperlink" xfId="37" builtinId="8" hidden="1"/>
    <cellStyle name="Hiperlink" xfId="31" builtinId="8" hidden="1"/>
    <cellStyle name="Hiperlink" xfId="25" builtinId="8" hidden="1"/>
    <cellStyle name="Hiperlink" xfId="63" builtinId="8" hidden="1"/>
    <cellStyle name="Hiperlink" xfId="71" builtinId="8" hidden="1"/>
    <cellStyle name="Hiperlink" xfId="79" builtinId="8" hidden="1"/>
    <cellStyle name="Hiperlink" xfId="87" builtinId="8" hidden="1"/>
    <cellStyle name="Hiperlink" xfId="95" builtinId="8" hidden="1"/>
    <cellStyle name="Hiperlink" xfId="103" builtinId="8" hidden="1"/>
    <cellStyle name="Hiperlink" xfId="111" builtinId="8" hidden="1"/>
    <cellStyle name="Hiperlink" xfId="119" builtinId="8" hidden="1"/>
    <cellStyle name="Hiperlink" xfId="127" builtinId="8" hidden="1"/>
    <cellStyle name="Hiperlink" xfId="135" builtinId="8" hidden="1"/>
    <cellStyle name="Hiperlink" xfId="143" builtinId="8" hidden="1"/>
    <cellStyle name="Hiperlink" xfId="151" builtinId="8" hidden="1"/>
    <cellStyle name="Hiperlink" xfId="159" builtinId="8" hidden="1"/>
    <cellStyle name="Hiperlink" xfId="167" builtinId="8" hidden="1"/>
    <cellStyle name="Hiperlink" xfId="175" builtinId="8" hidden="1"/>
    <cellStyle name="Hiperlink" xfId="183" builtinId="8" hidden="1"/>
    <cellStyle name="Hiperlink" xfId="191" builtinId="8" hidden="1"/>
    <cellStyle name="Hiperlink" xfId="199" builtinId="8" hidden="1"/>
    <cellStyle name="Hiperlink" xfId="207" builtinId="8" hidden="1"/>
    <cellStyle name="Hiperlink" xfId="215" builtinId="8" hidden="1"/>
    <cellStyle name="Hiperlink" xfId="223" builtinId="8" hidden="1"/>
    <cellStyle name="Hiperlink" xfId="231" builtinId="8" hidden="1"/>
    <cellStyle name="Hiperlink" xfId="239" builtinId="8" hidden="1"/>
    <cellStyle name="Hiperlink" xfId="247" builtinId="8" hidden="1"/>
    <cellStyle name="Hiperlink" xfId="255" builtinId="8" hidden="1"/>
    <cellStyle name="Hiperlink" xfId="263" builtinId="8" hidden="1"/>
    <cellStyle name="Hiperlink" xfId="271" builtinId="8" hidden="1"/>
    <cellStyle name="Hiperlink" xfId="279" builtinId="8" hidden="1"/>
    <cellStyle name="Hiperlink" xfId="287" builtinId="8" hidden="1"/>
    <cellStyle name="Hiperlink" xfId="295" builtinId="8" hidden="1"/>
    <cellStyle name="Hiperlink" xfId="303" builtinId="8" hidden="1"/>
    <cellStyle name="Hiperlink" xfId="311" builtinId="8" hidden="1"/>
    <cellStyle name="Hiperlink" xfId="319" builtinId="8" hidden="1"/>
    <cellStyle name="Hiperlink" xfId="327" builtinId="8" hidden="1"/>
    <cellStyle name="Hiperlink" xfId="335" builtinId="8" hidden="1"/>
    <cellStyle name="Hiperlink" xfId="343" builtinId="8" hidden="1"/>
    <cellStyle name="Hiperlink" xfId="351" builtinId="8" hidden="1"/>
    <cellStyle name="Hiperlink" xfId="359" builtinId="8" hidden="1"/>
    <cellStyle name="Hiperlink" xfId="367" builtinId="8" hidden="1"/>
    <cellStyle name="Hiperlink" xfId="375" builtinId="8" hidden="1"/>
    <cellStyle name="Hiperlink" xfId="383" builtinId="8" hidden="1"/>
    <cellStyle name="Hiperlink" xfId="391" builtinId="8" hidden="1"/>
    <cellStyle name="Hiperlink" xfId="399" builtinId="8" hidden="1"/>
    <cellStyle name="Hiperlink" xfId="407" builtinId="8" hidden="1"/>
    <cellStyle name="Hiperlink" xfId="415" builtinId="8" hidden="1"/>
    <cellStyle name="Hiperlink" xfId="423" builtinId="8" hidden="1"/>
    <cellStyle name="Hiperlink" xfId="431" builtinId="8" hidden="1"/>
    <cellStyle name="Hiperlink" xfId="439" builtinId="8" hidden="1"/>
    <cellStyle name="Hiperlink" xfId="447" builtinId="8" hidden="1"/>
    <cellStyle name="Hiperlink" xfId="455" builtinId="8" hidden="1"/>
    <cellStyle name="Hiperlink" xfId="463" builtinId="8" hidden="1"/>
    <cellStyle name="Hiperlink" xfId="471" builtinId="8" hidden="1"/>
    <cellStyle name="Hiperlink" xfId="479" builtinId="8" hidden="1"/>
    <cellStyle name="Hiperlink" xfId="487" builtinId="8" hidden="1"/>
    <cellStyle name="Hiperlink" xfId="495" builtinId="8" hidden="1"/>
    <cellStyle name="Hiperlink" xfId="503" builtinId="8" hidden="1"/>
    <cellStyle name="Hiperlink" xfId="511" builtinId="8" hidden="1"/>
    <cellStyle name="Hiperlink" xfId="519" builtinId="8" hidden="1"/>
    <cellStyle name="Hiperlink" xfId="527" builtinId="8" hidden="1"/>
    <cellStyle name="Hiperlink" xfId="535" builtinId="8" hidden="1"/>
    <cellStyle name="Hiperlink" xfId="543" builtinId="8" hidden="1"/>
    <cellStyle name="Hiperlink" xfId="551" builtinId="8" hidden="1"/>
    <cellStyle name="Hiperlink" xfId="559" builtinId="8" hidden="1"/>
    <cellStyle name="Hiperlink" xfId="567" builtinId="8" hidden="1"/>
    <cellStyle name="Hiperlink" xfId="575" builtinId="8" hidden="1"/>
    <cellStyle name="Hiperlink" xfId="583" builtinId="8" hidden="1"/>
    <cellStyle name="Hiperlink" xfId="591" builtinId="8" hidden="1"/>
    <cellStyle name="Hiperlink" xfId="599" builtinId="8" hidden="1"/>
    <cellStyle name="Hiperlink" xfId="607" builtinId="8" hidden="1"/>
    <cellStyle name="Hiperlink" xfId="615" builtinId="8" hidden="1"/>
    <cellStyle name="Hiperlink" xfId="623" builtinId="8" hidden="1"/>
    <cellStyle name="Hiperlink" xfId="629" builtinId="8" hidden="1"/>
    <cellStyle name="Hiperlink" xfId="621" builtinId="8" hidden="1"/>
    <cellStyle name="Hiperlink" xfId="613" builtinId="8" hidden="1"/>
    <cellStyle name="Hiperlink" xfId="605" builtinId="8" hidden="1"/>
    <cellStyle name="Hiperlink" xfId="597" builtinId="8" hidden="1"/>
    <cellStyle name="Hiperlink" xfId="589" builtinId="8" hidden="1"/>
    <cellStyle name="Hiperlink" xfId="581" builtinId="8" hidden="1"/>
    <cellStyle name="Hiperlink" xfId="573" builtinId="8" hidden="1"/>
    <cellStyle name="Hiperlink" xfId="565" builtinId="8" hidden="1"/>
    <cellStyle name="Hiperlink" xfId="557" builtinId="8" hidden="1"/>
    <cellStyle name="Hiperlink" xfId="549" builtinId="8" hidden="1"/>
    <cellStyle name="Hiperlink" xfId="541" builtinId="8" hidden="1"/>
    <cellStyle name="Hiperlink" xfId="533" builtinId="8" hidden="1"/>
    <cellStyle name="Hiperlink" xfId="525" builtinId="8" hidden="1"/>
    <cellStyle name="Hiperlink" xfId="517" builtinId="8" hidden="1"/>
    <cellStyle name="Hiperlink" xfId="509" builtinId="8" hidden="1"/>
    <cellStyle name="Hiperlink" xfId="501" builtinId="8" hidden="1"/>
    <cellStyle name="Hiperlink" xfId="493" builtinId="8" hidden="1"/>
    <cellStyle name="Hiperlink" xfId="485" builtinId="8" hidden="1"/>
    <cellStyle name="Hiperlink" xfId="477" builtinId="8" hidden="1"/>
    <cellStyle name="Hiperlink" xfId="469" builtinId="8" hidden="1"/>
    <cellStyle name="Hiperlink" xfId="461" builtinId="8" hidden="1"/>
    <cellStyle name="Hiperlink" xfId="453" builtinId="8" hidden="1"/>
    <cellStyle name="Hiperlink" xfId="445" builtinId="8" hidden="1"/>
    <cellStyle name="Hiperlink" xfId="437" builtinId="8" hidden="1"/>
    <cellStyle name="Hiperlink" xfId="429" builtinId="8" hidden="1"/>
    <cellStyle name="Hiperlink" xfId="421" builtinId="8" hidden="1"/>
    <cellStyle name="Hiperlink" xfId="413" builtinId="8" hidden="1"/>
    <cellStyle name="Hiperlink" xfId="405" builtinId="8" hidden="1"/>
    <cellStyle name="Hiperlink" xfId="397" builtinId="8" hidden="1"/>
    <cellStyle name="Hiperlink" xfId="389" builtinId="8" hidden="1"/>
    <cellStyle name="Hiperlink" xfId="381" builtinId="8" hidden="1"/>
    <cellStyle name="Hiperlink" xfId="373" builtinId="8" hidden="1"/>
    <cellStyle name="Hiperlink" xfId="365" builtinId="8" hidden="1"/>
    <cellStyle name="Hiperlink" xfId="357" builtinId="8" hidden="1"/>
    <cellStyle name="Hiperlink" xfId="349" builtinId="8" hidden="1"/>
    <cellStyle name="Hiperlink" xfId="341" builtinId="8" hidden="1"/>
    <cellStyle name="Hiperlink" xfId="333" builtinId="8" hidden="1"/>
    <cellStyle name="Hiperlink" xfId="325" builtinId="8" hidden="1"/>
    <cellStyle name="Hiperlink" xfId="317" builtinId="8" hidden="1"/>
    <cellStyle name="Hiperlink" xfId="309" builtinId="8" hidden="1"/>
    <cellStyle name="Hiperlink" xfId="301" builtinId="8" hidden="1"/>
    <cellStyle name="Hiperlink" xfId="293" builtinId="8" hidden="1"/>
    <cellStyle name="Hiperlink" xfId="285" builtinId="8" hidden="1"/>
    <cellStyle name="Hiperlink" xfId="277" builtinId="8" hidden="1"/>
    <cellStyle name="Hiperlink" xfId="269" builtinId="8" hidden="1"/>
    <cellStyle name="Hiperlink" xfId="261" builtinId="8" hidden="1"/>
    <cellStyle name="Hiperlink" xfId="253" builtinId="8" hidden="1"/>
    <cellStyle name="Hiperlink" xfId="245" builtinId="8" hidden="1"/>
    <cellStyle name="Hiperlink" xfId="237" builtinId="8" hidden="1"/>
    <cellStyle name="Hiperlink" xfId="229" builtinId="8" hidden="1"/>
    <cellStyle name="Hiperlink" xfId="221" builtinId="8" hidden="1"/>
    <cellStyle name="Hiperlink" xfId="213" builtinId="8" hidden="1"/>
    <cellStyle name="Hiperlink" xfId="205" builtinId="8" hidden="1"/>
    <cellStyle name="Hiperlink" xfId="197" builtinId="8" hidden="1"/>
    <cellStyle name="Hiperlink" xfId="189" builtinId="8" hidden="1"/>
    <cellStyle name="Hiperlink" xfId="181" builtinId="8" hidden="1"/>
    <cellStyle name="Hiperlink" xfId="105" builtinId="8" hidden="1"/>
    <cellStyle name="Hiperlink" xfId="109" builtinId="8" hidden="1"/>
    <cellStyle name="Hiperlink" xfId="113" builtinId="8" hidden="1"/>
    <cellStyle name="Hiperlink" xfId="121" builtinId="8" hidden="1"/>
    <cellStyle name="Hiperlink" xfId="125" builtinId="8" hidden="1"/>
    <cellStyle name="Hiperlink" xfId="129" builtinId="8" hidden="1"/>
    <cellStyle name="Hiperlink" xfId="137" builtinId="8" hidden="1"/>
    <cellStyle name="Hiperlink" xfId="141" builtinId="8" hidden="1"/>
    <cellStyle name="Hiperlink" xfId="145" builtinId="8" hidden="1"/>
    <cellStyle name="Hiperlink" xfId="153" builtinId="8" hidden="1"/>
    <cellStyle name="Hiperlink" xfId="157" builtinId="8" hidden="1"/>
    <cellStyle name="Hiperlink" xfId="161" builtinId="8" hidden="1"/>
    <cellStyle name="Hiperlink" xfId="169" builtinId="8" hidden="1"/>
    <cellStyle name="Hiperlink" xfId="173" builtinId="8" hidden="1"/>
    <cellStyle name="Hiperlink" xfId="177" builtinId="8" hidden="1"/>
    <cellStyle name="Hiperlink" xfId="165" builtinId="8" hidden="1"/>
    <cellStyle name="Hiperlink" xfId="149" builtinId="8" hidden="1"/>
    <cellStyle name="Hiperlink" xfId="133" builtinId="8" hidden="1"/>
    <cellStyle name="Hiperlink" xfId="117" builtinId="8" hidden="1"/>
    <cellStyle name="Hiperlink" xfId="101" builtinId="8" hidden="1"/>
    <cellStyle name="Hiperlink" xfId="81" builtinId="8" hidden="1"/>
    <cellStyle name="Hiperlink" xfId="85" builtinId="8" hidden="1"/>
    <cellStyle name="Hiperlink" xfId="89" builtinId="8" hidden="1"/>
    <cellStyle name="Hiperlink" xfId="93" builtinId="8" hidden="1"/>
    <cellStyle name="Hiperlink" xfId="97" builtinId="8" hidden="1"/>
    <cellStyle name="Hiperlink" xfId="73" builtinId="8" hidden="1"/>
    <cellStyle name="Hiperlink" xfId="77" builtinId="8" hidden="1"/>
    <cellStyle name="Hiperlink" xfId="69" builtinId="8" hidden="1"/>
    <cellStyle name="Hiperlink" xfId="65" builtinId="8" hidden="1"/>
    <cellStyle name="Hiperlink Visitado" xfId="538" builtinId="9" hidden="1"/>
    <cellStyle name="Hiperlink Visitado" xfId="542" builtinId="9" hidden="1"/>
    <cellStyle name="Hiperlink Visitado" xfId="546" builtinId="9" hidden="1"/>
    <cellStyle name="Hiperlink Visitado" xfId="548" builtinId="9" hidden="1"/>
    <cellStyle name="Hiperlink Visitado" xfId="554" builtinId="9" hidden="1"/>
    <cellStyle name="Hiperlink Visitado" xfId="556" builtinId="9" hidden="1"/>
    <cellStyle name="Hiperlink Visitado" xfId="558" builtinId="9" hidden="1"/>
    <cellStyle name="Hiperlink Visitado" xfId="564" builtinId="9" hidden="1"/>
    <cellStyle name="Hiperlink Visitado" xfId="566" builtinId="9" hidden="1"/>
    <cellStyle name="Hiperlink Visitado" xfId="570" builtinId="9" hidden="1"/>
    <cellStyle name="Hiperlink Visitado" xfId="574" builtinId="9" hidden="1"/>
    <cellStyle name="Hiperlink Visitado" xfId="578" builtinId="9" hidden="1"/>
    <cellStyle name="Hiperlink Visitado" xfId="580" builtinId="9" hidden="1"/>
    <cellStyle name="Hiperlink Visitado" xfId="586" builtinId="9" hidden="1"/>
    <cellStyle name="Hiperlink Visitado" xfId="588" builtinId="9" hidden="1"/>
    <cellStyle name="Hiperlink Visitado" xfId="590" builtinId="9" hidden="1"/>
    <cellStyle name="Hiperlink Visitado" xfId="596" builtinId="9" hidden="1"/>
    <cellStyle name="Hiperlink Visitado" xfId="598" builtinId="9" hidden="1"/>
    <cellStyle name="Hiperlink Visitado" xfId="602" builtinId="9" hidden="1"/>
    <cellStyle name="Hiperlink Visitado" xfId="606" builtinId="9" hidden="1"/>
    <cellStyle name="Hiperlink Visitado" xfId="610" builtinId="9" hidden="1"/>
    <cellStyle name="Hiperlink Visitado" xfId="612" builtinId="9" hidden="1"/>
    <cellStyle name="Hiperlink Visitado" xfId="618" builtinId="9" hidden="1"/>
    <cellStyle name="Hiperlink Visitado" xfId="620" builtinId="9" hidden="1"/>
    <cellStyle name="Hiperlink Visitado" xfId="622" builtinId="9" hidden="1"/>
    <cellStyle name="Hiperlink Visitado" xfId="628" builtinId="9" hidden="1"/>
    <cellStyle name="Hiperlink Visitado" xfId="630" builtinId="9" hidden="1"/>
    <cellStyle name="Hiperlink Visitado" xfId="624" builtinId="9" hidden="1"/>
    <cellStyle name="Hiperlink Visitado" xfId="608" builtinId="9" hidden="1"/>
    <cellStyle name="Hiperlink Visitado" xfId="600" builtinId="9" hidden="1"/>
    <cellStyle name="Hiperlink Visitado" xfId="592" builtinId="9" hidden="1"/>
    <cellStyle name="Hiperlink Visitado" xfId="576" builtinId="9" hidden="1"/>
    <cellStyle name="Hiperlink Visitado" xfId="568" builtinId="9" hidden="1"/>
    <cellStyle name="Hiperlink Visitado" xfId="560" builtinId="9" hidden="1"/>
    <cellStyle name="Hiperlink Visitado" xfId="544" builtinId="9" hidden="1"/>
    <cellStyle name="Hiperlink Visitado" xfId="536" builtinId="9" hidden="1"/>
    <cellStyle name="Hiperlink Visitado" xfId="528" builtinId="9" hidden="1"/>
    <cellStyle name="Hiperlink Visitado" xfId="512" builtinId="9" hidden="1"/>
    <cellStyle name="Hiperlink Visitado" xfId="504" builtinId="9" hidden="1"/>
    <cellStyle name="Hiperlink Visitado" xfId="496" builtinId="9" hidden="1"/>
    <cellStyle name="Hiperlink Visitado" xfId="480" builtinId="9" hidden="1"/>
    <cellStyle name="Hiperlink Visitado" xfId="472" builtinId="9" hidden="1"/>
    <cellStyle name="Hiperlink Visitado" xfId="464" builtinId="9" hidden="1"/>
    <cellStyle name="Hiperlink Visitado" xfId="448" builtinId="9" hidden="1"/>
    <cellStyle name="Hiperlink Visitado" xfId="440" builtinId="9" hidden="1"/>
    <cellStyle name="Hiperlink Visitado" xfId="432" builtinId="9" hidden="1"/>
    <cellStyle name="Hiperlink Visitado" xfId="416" builtinId="9" hidden="1"/>
    <cellStyle name="Hiperlink Visitado" xfId="408" builtinId="9" hidden="1"/>
    <cellStyle name="Hiperlink Visitado" xfId="400" builtinId="9" hidden="1"/>
    <cellStyle name="Hiperlink Visitado" xfId="384" builtinId="9" hidden="1"/>
    <cellStyle name="Hiperlink Visitado" xfId="376" builtinId="9" hidden="1"/>
    <cellStyle name="Hiperlink Visitado" xfId="368" builtinId="9" hidden="1"/>
    <cellStyle name="Hiperlink Visitado" xfId="352" builtinId="9" hidden="1"/>
    <cellStyle name="Hiperlink Visitado" xfId="344" builtinId="9" hidden="1"/>
    <cellStyle name="Hiperlink Visitado" xfId="336" builtinId="9" hidden="1"/>
    <cellStyle name="Hiperlink Visitado" xfId="320" builtinId="9" hidden="1"/>
    <cellStyle name="Hiperlink Visitado" xfId="312" builtinId="9" hidden="1"/>
    <cellStyle name="Hiperlink Visitado" xfId="304" builtinId="9" hidden="1"/>
    <cellStyle name="Hiperlink Visitado" xfId="288" builtinId="9" hidden="1"/>
    <cellStyle name="Hiperlink Visitado" xfId="280" builtinId="9" hidden="1"/>
    <cellStyle name="Hiperlink Visitado" xfId="272" builtinId="9" hidden="1"/>
    <cellStyle name="Hiperlink Visitado" xfId="256" builtinId="9" hidden="1"/>
    <cellStyle name="Hiperlink Visitado" xfId="248" builtinId="9" hidden="1"/>
    <cellStyle name="Hiperlink Visitado" xfId="240" builtinId="9" hidden="1"/>
    <cellStyle name="Hiperlink Visitado" xfId="102" builtinId="9" hidden="1"/>
    <cellStyle name="Hiperlink Visitado" xfId="104" builtinId="9" hidden="1"/>
    <cellStyle name="Hiperlink Visitado" xfId="106" builtinId="9" hidden="1"/>
    <cellStyle name="Hiperlink Visitado" xfId="110" builtinId="9" hidden="1"/>
    <cellStyle name="Hiperlink Visitado" xfId="114" builtinId="9" hidden="1"/>
    <cellStyle name="Hiperlink Visitado" xfId="116" builtinId="9" hidden="1"/>
    <cellStyle name="Hiperlink Visitado" xfId="120" builtinId="9" hidden="1"/>
    <cellStyle name="Hiperlink Visitado" xfId="122" builtinId="9" hidden="1"/>
    <cellStyle name="Hiperlink Visitado" xfId="124" builtinId="9" hidden="1"/>
    <cellStyle name="Hiperlink Visitado" xfId="130" builtinId="9" hidden="1"/>
    <cellStyle name="Hiperlink Visitado" xfId="132" builtinId="9" hidden="1"/>
    <cellStyle name="Hiperlink Visitado" xfId="134" builtinId="9" hidden="1"/>
    <cellStyle name="Hiperlink Visitado" xfId="138" builtinId="9" hidden="1"/>
    <cellStyle name="Hiperlink Visitado" xfId="140" builtinId="9" hidden="1"/>
    <cellStyle name="Hiperlink Visitado" xfId="142" builtinId="9" hidden="1"/>
    <cellStyle name="Hiperlink Visitado" xfId="148" builtinId="9" hidden="1"/>
    <cellStyle name="Hiperlink Visitado" xfId="150" builtinId="9" hidden="1"/>
    <cellStyle name="Hiperlink Visitado" xfId="152" builtinId="9" hidden="1"/>
    <cellStyle name="Hiperlink Visitado" xfId="156" builtinId="9" hidden="1"/>
    <cellStyle name="Hiperlink Visitado" xfId="158" builtinId="9" hidden="1"/>
    <cellStyle name="Hiperlink Visitado" xfId="162" builtinId="9" hidden="1"/>
    <cellStyle name="Hiperlink Visitado" xfId="166" builtinId="9" hidden="1"/>
    <cellStyle name="Hiperlink Visitado" xfId="168" builtinId="9" hidden="1"/>
    <cellStyle name="Hiperlink Visitado" xfId="170" builtinId="9" hidden="1"/>
    <cellStyle name="Hiperlink Visitado" xfId="174" builtinId="9" hidden="1"/>
    <cellStyle name="Hiperlink Visitado" xfId="178" builtinId="9" hidden="1"/>
    <cellStyle name="Hiperlink Visitado" xfId="180" builtinId="9" hidden="1"/>
    <cellStyle name="Hiperlink Visitado" xfId="184" builtinId="9" hidden="1"/>
    <cellStyle name="Hiperlink Visitado" xfId="186" builtinId="9" hidden="1"/>
    <cellStyle name="Hiperlink Visitado" xfId="188" builtinId="9" hidden="1"/>
    <cellStyle name="Hiperlink Visitado" xfId="194" builtinId="9" hidden="1"/>
    <cellStyle name="Hiperlink Visitado" xfId="196" builtinId="9" hidden="1"/>
    <cellStyle name="Hiperlink Visitado" xfId="198" builtinId="9" hidden="1"/>
    <cellStyle name="Hiperlink Visitado" xfId="202" builtinId="9" hidden="1"/>
    <cellStyle name="Hiperlink Visitado" xfId="204" builtinId="9" hidden="1"/>
    <cellStyle name="Hiperlink Visitado" xfId="206" builtinId="9" hidden="1"/>
    <cellStyle name="Hiperlink Visitado" xfId="212" builtinId="9" hidden="1"/>
    <cellStyle name="Hiperlink Visitado" xfId="214" builtinId="9" hidden="1"/>
    <cellStyle name="Hiperlink Visitado" xfId="216" builtinId="9" hidden="1"/>
    <cellStyle name="Hiperlink Visitado" xfId="220" builtinId="9" hidden="1"/>
    <cellStyle name="Hiperlink Visitado" xfId="222" builtinId="9" hidden="1"/>
    <cellStyle name="Hiperlink Visitado" xfId="226" builtinId="9" hidden="1"/>
    <cellStyle name="Hiperlink Visitado" xfId="230" builtinId="9" hidden="1"/>
    <cellStyle name="Hiperlink Visitado" xfId="224" builtinId="9" hidden="1"/>
    <cellStyle name="Hiperlink Visitado" xfId="208" builtinId="9" hidden="1"/>
    <cellStyle name="Hiperlink Visitado" xfId="176" builtinId="9" hidden="1"/>
    <cellStyle name="Hiperlink Visitado" xfId="160" builtinId="9" hidden="1"/>
    <cellStyle name="Hiperlink Visitado" xfId="144" builtinId="9" hidden="1"/>
    <cellStyle name="Hiperlink Visitado" xfId="112" builtinId="9" hidden="1"/>
    <cellStyle name="Hiperlink Visitado" xfId="50" builtinId="9" hidden="1"/>
    <cellStyle name="Hiperlink Visitado" xfId="52" builtinId="9" hidden="1"/>
    <cellStyle name="Hiperlink Visitado" xfId="56" builtinId="9" hidden="1"/>
    <cellStyle name="Hiperlink Visitado" xfId="58" builtinId="9" hidden="1"/>
    <cellStyle name="Hiperlink Visitado" xfId="60" builtinId="9" hidden="1"/>
    <cellStyle name="Hiperlink Visitado" xfId="64" builtinId="9" hidden="1"/>
    <cellStyle name="Hiperlink Visitado" xfId="66" builtinId="9" hidden="1"/>
    <cellStyle name="Hiperlink Visitado" xfId="68" builtinId="9" hidden="1"/>
    <cellStyle name="Hiperlink Visitado" xfId="72" builtinId="9" hidden="1"/>
    <cellStyle name="Hiperlink Visitado" xfId="74" builtinId="9" hidden="1"/>
    <cellStyle name="Hiperlink Visitado" xfId="76" builtinId="9" hidden="1"/>
    <cellStyle name="Hiperlink Visitado" xfId="82" builtinId="9" hidden="1"/>
    <cellStyle name="Hiperlink Visitado" xfId="84" builtinId="9" hidden="1"/>
    <cellStyle name="Hiperlink Visitado" xfId="86" builtinId="9" hidden="1"/>
    <cellStyle name="Hiperlink Visitado" xfId="90" builtinId="9" hidden="1"/>
    <cellStyle name="Hiperlink Visitado" xfId="92" builtinId="9" hidden="1"/>
    <cellStyle name="Hiperlink Visitado" xfId="94" builtinId="9" hidden="1"/>
    <cellStyle name="Hiperlink Visitado" xfId="98" builtinId="9" hidden="1"/>
    <cellStyle name="Hiperlink Visitado" xfId="100" builtinId="9" hidden="1"/>
    <cellStyle name="Hiperlink Visitado" xfId="80" builtinId="9" hidden="1"/>
    <cellStyle name="Hiperlink Visitado" xfId="26" builtinId="9" hidden="1"/>
    <cellStyle name="Hiperlink Visitado" xfId="28" builtinId="9" hidden="1"/>
    <cellStyle name="Hiperlink Visitado" xfId="30" builtinId="9" hidden="1"/>
    <cellStyle name="Hiperlink Visitado" xfId="34" builtinId="9" hidden="1"/>
    <cellStyle name="Hiperlink Visitado" xfId="36" builtinId="9" hidden="1"/>
    <cellStyle name="Hiperlink Visitado" xfId="38" builtinId="9" hidden="1"/>
    <cellStyle name="Hiperlink Visitado" xfId="42" builtinId="9" hidden="1"/>
    <cellStyle name="Hiperlink Visitado" xfId="44" builtinId="9" hidden="1"/>
    <cellStyle name="Hiperlink Visitado" xfId="46" builtinId="9" hidden="1"/>
    <cellStyle name="Hiperlink Visitado" xfId="16" builtinId="9" hidden="1"/>
    <cellStyle name="Hiperlink Visitado" xfId="18" builtinId="9" hidden="1"/>
    <cellStyle name="Hiperlink Visitado" xfId="20" builtinId="9" hidden="1"/>
    <cellStyle name="Hiperlink Visitado" xfId="24" builtinId="9" hidden="1"/>
    <cellStyle name="Hiperlink Visitado" xfId="8" builtinId="9" hidden="1"/>
    <cellStyle name="Hiperlink Visitado" xfId="10" builtinId="9" hidden="1"/>
    <cellStyle name="Hiperlink Visitado" xfId="6" builtinId="9" hidden="1"/>
    <cellStyle name="Hiperlink Visitado" xfId="4" builtinId="9" hidden="1"/>
    <cellStyle name="Hiperlink Visitado" xfId="12" builtinId="9" hidden="1"/>
    <cellStyle name="Hiperlink Visitado" xfId="22" builtinId="9" hidden="1"/>
    <cellStyle name="Hiperlink Visitado" xfId="14" builtinId="9" hidden="1"/>
    <cellStyle name="Hiperlink Visitado" xfId="40" builtinId="9" hidden="1"/>
    <cellStyle name="Hiperlink Visitado" xfId="32" builtinId="9" hidden="1"/>
    <cellStyle name="Hiperlink Visitado" xfId="48" builtinId="9" hidden="1"/>
    <cellStyle name="Hiperlink Visitado" xfId="96" builtinId="9" hidden="1"/>
    <cellStyle name="Hiperlink Visitado" xfId="88" builtinId="9" hidden="1"/>
    <cellStyle name="Hiperlink Visitado" xfId="78" builtinId="9" hidden="1"/>
    <cellStyle name="Hiperlink Visitado" xfId="70" builtinId="9" hidden="1"/>
    <cellStyle name="Hiperlink Visitado" xfId="62" builtinId="9" hidden="1"/>
    <cellStyle name="Hiperlink Visitado" xfId="54" builtinId="9" hidden="1"/>
    <cellStyle name="Hiperlink Visitado" xfId="128" builtinId="9" hidden="1"/>
    <cellStyle name="Hiperlink Visitado" xfId="192" builtinId="9" hidden="1"/>
    <cellStyle name="Hiperlink Visitado" xfId="228" builtinId="9" hidden="1"/>
    <cellStyle name="Hiperlink Visitado" xfId="218" builtinId="9" hidden="1"/>
    <cellStyle name="Hiperlink Visitado" xfId="210" builtinId="9" hidden="1"/>
    <cellStyle name="Hiperlink Visitado" xfId="200" builtinId="9" hidden="1"/>
    <cellStyle name="Hiperlink Visitado" xfId="190" builtinId="9" hidden="1"/>
    <cellStyle name="Hiperlink Visitado" xfId="182" builtinId="9" hidden="1"/>
    <cellStyle name="Hiperlink Visitado" xfId="172" builtinId="9" hidden="1"/>
    <cellStyle name="Hiperlink Visitado" xfId="164" builtinId="9" hidden="1"/>
    <cellStyle name="Hiperlink Visitado" xfId="154" builtinId="9" hidden="1"/>
    <cellStyle name="Hiperlink Visitado" xfId="146" builtinId="9" hidden="1"/>
    <cellStyle name="Hiperlink Visitado" xfId="136" builtinId="9" hidden="1"/>
    <cellStyle name="Hiperlink Visitado" xfId="126" builtinId="9" hidden="1"/>
    <cellStyle name="Hiperlink Visitado" xfId="118" builtinId="9" hidden="1"/>
    <cellStyle name="Hiperlink Visitado" xfId="108" builtinId="9" hidden="1"/>
    <cellStyle name="Hiperlink Visitado" xfId="232" builtinId="9" hidden="1"/>
    <cellStyle name="Hiperlink Visitado" xfId="264" builtinId="9" hidden="1"/>
    <cellStyle name="Hiperlink Visitado" xfId="296" builtinId="9" hidden="1"/>
    <cellStyle name="Hiperlink Visitado" xfId="328" builtinId="9" hidden="1"/>
    <cellStyle name="Hiperlink Visitado" xfId="360" builtinId="9" hidden="1"/>
    <cellStyle name="Hiperlink Visitado" xfId="392" builtinId="9" hidden="1"/>
    <cellStyle name="Hiperlink Visitado" xfId="424" builtinId="9" hidden="1"/>
    <cellStyle name="Hiperlink Visitado" xfId="456" builtinId="9" hidden="1"/>
    <cellStyle name="Hiperlink Visitado" xfId="488" builtinId="9" hidden="1"/>
    <cellStyle name="Hiperlink Visitado" xfId="520" builtinId="9" hidden="1"/>
    <cellStyle name="Hiperlink Visitado" xfId="552" builtinId="9" hidden="1"/>
    <cellStyle name="Hiperlink Visitado" xfId="584" builtinId="9" hidden="1"/>
    <cellStyle name="Hiperlink Visitado" xfId="616" builtinId="9" hidden="1"/>
    <cellStyle name="Hiperlink Visitado" xfId="626" builtinId="9" hidden="1"/>
    <cellStyle name="Hiperlink Visitado" xfId="614" builtinId="9" hidden="1"/>
    <cellStyle name="Hiperlink Visitado" xfId="604" builtinId="9" hidden="1"/>
    <cellStyle name="Hiperlink Visitado" xfId="594" builtinId="9" hidden="1"/>
    <cellStyle name="Hiperlink Visitado" xfId="582" builtinId="9" hidden="1"/>
    <cellStyle name="Hiperlink Visitado" xfId="572" builtinId="9" hidden="1"/>
    <cellStyle name="Hiperlink Visitado" xfId="562" builtinId="9" hidden="1"/>
    <cellStyle name="Hiperlink Visitado" xfId="550" builtinId="9" hidden="1"/>
    <cellStyle name="Hiperlink Visitado" xfId="540" builtinId="9" hidden="1"/>
    <cellStyle name="Hiperlink Visitado" xfId="364" builtinId="9" hidden="1"/>
    <cellStyle name="Hiperlink Visitado" xfId="366" builtinId="9" hidden="1"/>
    <cellStyle name="Hiperlink Visitado" xfId="370" builtinId="9" hidden="1"/>
    <cellStyle name="Hiperlink Visitado" xfId="372" builtinId="9" hidden="1"/>
    <cellStyle name="Hiperlink Visitado" xfId="374" builtinId="9" hidden="1"/>
    <cellStyle name="Hiperlink Visitado" xfId="378" builtinId="9" hidden="1"/>
    <cellStyle name="Hiperlink Visitado" xfId="382" builtinId="9" hidden="1"/>
    <cellStyle name="Hiperlink Visitado" xfId="386" builtinId="9" hidden="1"/>
    <cellStyle name="Hiperlink Visitado" xfId="388" builtinId="9" hidden="1"/>
    <cellStyle name="Hiperlink Visitado" xfId="390" builtinId="9" hidden="1"/>
    <cellStyle name="Hiperlink Visitado" xfId="394" builtinId="9" hidden="1"/>
    <cellStyle name="Hiperlink Visitado" xfId="396" builtinId="9" hidden="1"/>
    <cellStyle name="Hiperlink Visitado" xfId="398" builtinId="9" hidden="1"/>
    <cellStyle name="Hiperlink Visitado" xfId="404" builtinId="9" hidden="1"/>
    <cellStyle name="Hiperlink Visitado" xfId="406" builtinId="9" hidden="1"/>
    <cellStyle name="Hiperlink Visitado" xfId="410" builtinId="9" hidden="1"/>
    <cellStyle name="Hiperlink Visitado" xfId="412" builtinId="9" hidden="1"/>
    <cellStyle name="Hiperlink Visitado" xfId="414" builtinId="9" hidden="1"/>
    <cellStyle name="Hiperlink Visitado" xfId="418" builtinId="9" hidden="1"/>
    <cellStyle name="Hiperlink Visitado" xfId="420" builtinId="9" hidden="1"/>
    <cellStyle name="Hiperlink Visitado" xfId="426" builtinId="9" hidden="1"/>
    <cellStyle name="Hiperlink Visitado" xfId="428" builtinId="9" hidden="1"/>
    <cellStyle name="Hiperlink Visitado" xfId="430" builtinId="9" hidden="1"/>
    <cellStyle name="Hiperlink Visitado" xfId="434" builtinId="9" hidden="1"/>
    <cellStyle name="Hiperlink Visitado" xfId="436" builtinId="9" hidden="1"/>
    <cellStyle name="Hiperlink Visitado" xfId="438" builtinId="9" hidden="1"/>
    <cellStyle name="Hiperlink Visitado" xfId="442" builtinId="9" hidden="1"/>
    <cellStyle name="Hiperlink Visitado" xfId="446" builtinId="9" hidden="1"/>
    <cellStyle name="Hiperlink Visitado" xfId="450" builtinId="9" hidden="1"/>
    <cellStyle name="Hiperlink Visitado" xfId="452" builtinId="9" hidden="1"/>
    <cellStyle name="Hiperlink Visitado" xfId="454" builtinId="9" hidden="1"/>
    <cellStyle name="Hiperlink Visitado" xfId="458" builtinId="9" hidden="1"/>
    <cellStyle name="Hiperlink Visitado" xfId="460" builtinId="9" hidden="1"/>
    <cellStyle name="Hiperlink Visitado" xfId="462" builtinId="9" hidden="1"/>
    <cellStyle name="Hiperlink Visitado" xfId="468" builtinId="9" hidden="1"/>
    <cellStyle name="Hiperlink Visitado" xfId="470" builtinId="9" hidden="1"/>
    <cellStyle name="Hiperlink Visitado" xfId="474" builtinId="9" hidden="1"/>
    <cellStyle name="Hiperlink Visitado" xfId="476" builtinId="9" hidden="1"/>
    <cellStyle name="Hiperlink Visitado" xfId="478" builtinId="9" hidden="1"/>
    <cellStyle name="Hiperlink Visitado" xfId="482" builtinId="9" hidden="1"/>
    <cellStyle name="Hiperlink Visitado" xfId="484" builtinId="9" hidden="1"/>
    <cellStyle name="Hiperlink Visitado" xfId="490" builtinId="9" hidden="1"/>
    <cellStyle name="Hiperlink Visitado" xfId="492" builtinId="9" hidden="1"/>
    <cellStyle name="Hiperlink Visitado" xfId="494" builtinId="9" hidden="1"/>
    <cellStyle name="Hiperlink Visitado" xfId="498" builtinId="9" hidden="1"/>
    <cellStyle name="Hiperlink Visitado" xfId="500" builtinId="9" hidden="1"/>
    <cellStyle name="Hiperlink Visitado" xfId="502" builtinId="9" hidden="1"/>
    <cellStyle name="Hiperlink Visitado" xfId="506" builtinId="9" hidden="1"/>
    <cellStyle name="Hiperlink Visitado" xfId="510" builtinId="9" hidden="1"/>
    <cellStyle name="Hiperlink Visitado" xfId="514" builtinId="9" hidden="1"/>
    <cellStyle name="Hiperlink Visitado" xfId="516" builtinId="9" hidden="1"/>
    <cellStyle name="Hiperlink Visitado" xfId="518" builtinId="9" hidden="1"/>
    <cellStyle name="Hiperlink Visitado" xfId="522" builtinId="9" hidden="1"/>
    <cellStyle name="Hiperlink Visitado" xfId="524" builtinId="9" hidden="1"/>
    <cellStyle name="Hiperlink Visitado" xfId="526" builtinId="9" hidden="1"/>
    <cellStyle name="Hiperlink Visitado" xfId="532" builtinId="9" hidden="1"/>
    <cellStyle name="Hiperlink Visitado" xfId="534" builtinId="9" hidden="1"/>
    <cellStyle name="Hiperlink Visitado" xfId="530" builtinId="9" hidden="1"/>
    <cellStyle name="Hiperlink Visitado" xfId="508" builtinId="9" hidden="1"/>
    <cellStyle name="Hiperlink Visitado" xfId="486" builtinId="9" hidden="1"/>
    <cellStyle name="Hiperlink Visitado" xfId="466" builtinId="9" hidden="1"/>
    <cellStyle name="Hiperlink Visitado" xfId="444" builtinId="9" hidden="1"/>
    <cellStyle name="Hiperlink Visitado" xfId="422" builtinId="9" hidden="1"/>
    <cellStyle name="Hiperlink Visitado" xfId="402" builtinId="9" hidden="1"/>
    <cellStyle name="Hiperlink Visitado" xfId="380" builtinId="9" hidden="1"/>
    <cellStyle name="Hiperlink Visitado" xfId="292" builtinId="9" hidden="1"/>
    <cellStyle name="Hiperlink Visitado" xfId="298" builtinId="9" hidden="1"/>
    <cellStyle name="Hiperlink Visitado" xfId="300" builtinId="9" hidden="1"/>
    <cellStyle name="Hiperlink Visitado" xfId="302" builtinId="9" hidden="1"/>
    <cellStyle name="Hiperlink Visitado" xfId="306" builtinId="9" hidden="1"/>
    <cellStyle name="Hiperlink Visitado" xfId="308" builtinId="9" hidden="1"/>
    <cellStyle name="Hiperlink Visitado" xfId="310" builtinId="9" hidden="1"/>
    <cellStyle name="Hiperlink Visitado" xfId="314" builtinId="9" hidden="1"/>
    <cellStyle name="Hiperlink Visitado" xfId="316" builtinId="9" hidden="1"/>
    <cellStyle name="Hiperlink Visitado" xfId="318" builtinId="9" hidden="1"/>
    <cellStyle name="Hiperlink Visitado" xfId="322" builtinId="9" hidden="1"/>
    <cellStyle name="Hiperlink Visitado" xfId="324" builtinId="9" hidden="1"/>
    <cellStyle name="Hiperlink Visitado" xfId="326" builtinId="9" hidden="1"/>
    <cellStyle name="Hiperlink Visitado" xfId="330" builtinId="9" hidden="1"/>
    <cellStyle name="Hiperlink Visitado" xfId="332" builtinId="9" hidden="1"/>
    <cellStyle name="Hiperlink Visitado" xfId="334" builtinId="9" hidden="1"/>
    <cellStyle name="Hiperlink Visitado" xfId="340" builtinId="9" hidden="1"/>
    <cellStyle name="Hiperlink Visitado" xfId="342" builtinId="9" hidden="1"/>
    <cellStyle name="Hiperlink Visitado" xfId="346" builtinId="9" hidden="1"/>
    <cellStyle name="Hiperlink Visitado" xfId="348" builtinId="9" hidden="1"/>
    <cellStyle name="Hiperlink Visitado" xfId="350" builtinId="9" hidden="1"/>
    <cellStyle name="Hiperlink Visitado" xfId="354" builtinId="9" hidden="1"/>
    <cellStyle name="Hiperlink Visitado" xfId="356" builtinId="9" hidden="1"/>
    <cellStyle name="Hiperlink Visitado" xfId="358" builtinId="9" hidden="1"/>
    <cellStyle name="Hiperlink Visitado" xfId="362" builtinId="9" hidden="1"/>
    <cellStyle name="Hiperlink Visitado" xfId="338" builtinId="9" hidden="1"/>
    <cellStyle name="Hiperlink Visitado" xfId="294" builtinId="9" hidden="1"/>
    <cellStyle name="Hiperlink Visitado" xfId="262" builtinId="9" hidden="1"/>
    <cellStyle name="Hiperlink Visitado" xfId="266" builtinId="9" hidden="1"/>
    <cellStyle name="Hiperlink Visitado" xfId="268" builtinId="9" hidden="1"/>
    <cellStyle name="Hiperlink Visitado" xfId="270" builtinId="9" hidden="1"/>
    <cellStyle name="Hiperlink Visitado" xfId="274" builtinId="9" hidden="1"/>
    <cellStyle name="Hiperlink Visitado" xfId="276" builtinId="9" hidden="1"/>
    <cellStyle name="Hiperlink Visitado" xfId="278" builtinId="9" hidden="1"/>
    <cellStyle name="Hiperlink Visitado" xfId="282" builtinId="9" hidden="1"/>
    <cellStyle name="Hiperlink Visitado" xfId="284" builtinId="9" hidden="1"/>
    <cellStyle name="Hiperlink Visitado" xfId="286" builtinId="9" hidden="1"/>
    <cellStyle name="Hiperlink Visitado" xfId="290" builtinId="9" hidden="1"/>
    <cellStyle name="Hiperlink Visitado" xfId="246" builtinId="9" hidden="1"/>
    <cellStyle name="Hiperlink Visitado" xfId="250" builtinId="9" hidden="1"/>
    <cellStyle name="Hiperlink Visitado" xfId="252" builtinId="9" hidden="1"/>
    <cellStyle name="Hiperlink Visitado" xfId="254" builtinId="9" hidden="1"/>
    <cellStyle name="Hiperlink Visitado" xfId="258" builtinId="9" hidden="1"/>
    <cellStyle name="Hiperlink Visitado" xfId="260" builtinId="9" hidden="1"/>
    <cellStyle name="Hiperlink Visitado" xfId="238" builtinId="9" hidden="1"/>
    <cellStyle name="Hiperlink Visitado" xfId="242" builtinId="9" hidden="1"/>
    <cellStyle name="Hiperlink Visitado" xfId="244" builtinId="9" hidden="1"/>
    <cellStyle name="Hiperlink Visitado" xfId="236" builtinId="9" hidden="1"/>
    <cellStyle name="Hiperlink Visitado" xfId="234" builtinId="9" hidden="1"/>
    <cellStyle name="Moeda" xfId="2" builtinId="4"/>
    <cellStyle name="Moeda 2" xfId="632" xr:uid="{00000000-0005-0000-0000-000075020000}"/>
    <cellStyle name="Normal" xfId="0" builtinId="0"/>
    <cellStyle name="Porcentagem" xfId="631" builtinId="5"/>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103909</xdr:colOff>
      <xdr:row>0</xdr:row>
      <xdr:rowOff>131618</xdr:rowOff>
    </xdr:from>
    <xdr:to>
      <xdr:col>0</xdr:col>
      <xdr:colOff>2700424</xdr:colOff>
      <xdr:row>4</xdr:row>
      <xdr:rowOff>174048</xdr:rowOff>
    </xdr:to>
    <xdr:pic>
      <xdr:nvPicPr>
        <xdr:cNvPr id="2" name="Imagem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909" y="131618"/>
          <a:ext cx="2596515" cy="838200"/>
        </a:xfrm>
        <a:prstGeom prst="rect">
          <a:avLst/>
        </a:prstGeom>
      </xdr:spPr>
    </xdr:pic>
    <xdr:clientData/>
  </xdr:twoCellAnchor>
  <xdr:twoCellAnchor editAs="oneCell">
    <xdr:from>
      <xdr:col>0</xdr:col>
      <xdr:colOff>103909</xdr:colOff>
      <xdr:row>0</xdr:row>
      <xdr:rowOff>131618</xdr:rowOff>
    </xdr:from>
    <xdr:to>
      <xdr:col>0</xdr:col>
      <xdr:colOff>2700424</xdr:colOff>
      <xdr:row>4</xdr:row>
      <xdr:rowOff>241762</xdr:rowOff>
    </xdr:to>
    <xdr:pic>
      <xdr:nvPicPr>
        <xdr:cNvPr id="3" name="Imagem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909" y="131618"/>
          <a:ext cx="2596515" cy="849284"/>
        </a:xfrm>
        <a:prstGeom prst="rect">
          <a:avLst/>
        </a:prstGeom>
      </xdr:spPr>
    </xdr:pic>
    <xdr:clientData/>
  </xdr:twoCellAnchor>
  <xdr:twoCellAnchor editAs="oneCell">
    <xdr:from>
      <xdr:col>0</xdr:col>
      <xdr:colOff>103909</xdr:colOff>
      <xdr:row>0</xdr:row>
      <xdr:rowOff>131618</xdr:rowOff>
    </xdr:from>
    <xdr:to>
      <xdr:col>0</xdr:col>
      <xdr:colOff>2700424</xdr:colOff>
      <xdr:row>4</xdr:row>
      <xdr:rowOff>173182</xdr:rowOff>
    </xdr:to>
    <xdr:pic>
      <xdr:nvPicPr>
        <xdr:cNvPr id="4" name="Imagem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909" y="131618"/>
          <a:ext cx="2596515" cy="8492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1</xdr:row>
      <xdr:rowOff>114300</xdr:rowOff>
    </xdr:from>
    <xdr:to>
      <xdr:col>2</xdr:col>
      <xdr:colOff>2238375</xdr:colOff>
      <xdr:row>6</xdr:row>
      <xdr:rowOff>121920</xdr:rowOff>
    </xdr:to>
    <xdr:pic>
      <xdr:nvPicPr>
        <xdr:cNvPr id="2" name="Imagem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7180" y="297180"/>
          <a:ext cx="2596515" cy="838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114300</xdr:colOff>
      <xdr:row>1</xdr:row>
      <xdr:rowOff>114300</xdr:rowOff>
    </xdr:from>
    <xdr:to>
      <xdr:col>2</xdr:col>
      <xdr:colOff>2200275</xdr:colOff>
      <xdr:row>6</xdr:row>
      <xdr:rowOff>38100</xdr:rowOff>
    </xdr:to>
    <xdr:pic>
      <xdr:nvPicPr>
        <xdr:cNvPr id="2" name="Imagem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7180" y="297180"/>
          <a:ext cx="2596515" cy="8382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34"/>
  <sheetViews>
    <sheetView tabSelected="1" topLeftCell="A8" zoomScaleNormal="100" workbookViewId="0">
      <selection activeCell="C19" sqref="C19"/>
    </sheetView>
  </sheetViews>
  <sheetFormatPr defaultColWidth="8.88671875" defaultRowHeight="14.4" x14ac:dyDescent="0.3"/>
  <cols>
    <col min="1" max="1" width="53.33203125" customWidth="1"/>
    <col min="2" max="2" width="6.44140625" bestFit="1" customWidth="1"/>
    <col min="3" max="3" width="5.77734375" bestFit="1" customWidth="1"/>
    <col min="4" max="4" width="16.6640625" bestFit="1" customWidth="1"/>
    <col min="5" max="5" width="15" hidden="1" customWidth="1"/>
    <col min="6" max="6" width="25.33203125" hidden="1" customWidth="1"/>
    <col min="7" max="7" width="15.44140625" hidden="1" customWidth="1"/>
    <col min="8" max="8" width="14" bestFit="1" customWidth="1"/>
    <col min="9" max="9" width="14.88671875" bestFit="1" customWidth="1"/>
    <col min="10" max="10" width="11" bestFit="1" customWidth="1"/>
    <col min="11" max="11" width="12.109375" bestFit="1" customWidth="1"/>
    <col min="12" max="12" width="12.21875" bestFit="1" customWidth="1"/>
    <col min="13" max="13" width="11" bestFit="1" customWidth="1"/>
    <col min="14" max="14" width="13.44140625" bestFit="1" customWidth="1"/>
    <col min="15" max="15" width="12.109375" bestFit="1" customWidth="1"/>
    <col min="16" max="16" width="15.109375" bestFit="1" customWidth="1"/>
    <col min="17" max="17" width="5.21875" bestFit="1" customWidth="1"/>
  </cols>
  <sheetData>
    <row r="2" spans="1:16" ht="20.399999999999999" x14ac:dyDescent="0.3">
      <c r="H2" s="61" t="s">
        <v>0</v>
      </c>
      <c r="I2" s="61" t="s">
        <v>1</v>
      </c>
      <c r="J2" s="62" t="s">
        <v>95</v>
      </c>
      <c r="K2" s="78"/>
    </row>
    <row r="3" spans="1:16" x14ac:dyDescent="0.3">
      <c r="H3" s="63">
        <f>I3*12</f>
        <v>1197228</v>
      </c>
      <c r="I3" s="64">
        <v>99769</v>
      </c>
      <c r="J3" s="77">
        <f>I3/B12</f>
        <v>560.5</v>
      </c>
      <c r="K3" s="79"/>
    </row>
    <row r="4" spans="1:16" x14ac:dyDescent="0.3">
      <c r="K4" s="62" t="s">
        <v>132</v>
      </c>
    </row>
    <row r="5" spans="1:16" ht="20.399999999999999" x14ac:dyDescent="0.3">
      <c r="H5" s="61" t="s">
        <v>0</v>
      </c>
      <c r="I5" s="61" t="s">
        <v>1</v>
      </c>
      <c r="J5" s="62" t="s">
        <v>95</v>
      </c>
      <c r="K5" s="83">
        <f>I6/I3-1</f>
        <v>0.21013070568568959</v>
      </c>
    </row>
    <row r="6" spans="1:16" x14ac:dyDescent="0.3">
      <c r="H6" s="63">
        <f>I6*12</f>
        <v>1448802.3645066668</v>
      </c>
      <c r="I6" s="64">
        <f>'Plano Orçamentario'!G34</f>
        <v>120733.53037555557</v>
      </c>
      <c r="J6" s="77">
        <f>I6/B12</f>
        <v>678.27826053682907</v>
      </c>
    </row>
    <row r="7" spans="1:16" ht="15.6" x14ac:dyDescent="0.3">
      <c r="A7" s="14" t="s">
        <v>111</v>
      </c>
      <c r="B7" s="54"/>
      <c r="C7" s="1"/>
    </row>
    <row r="8" spans="1:16" x14ac:dyDescent="0.3">
      <c r="A8" t="s">
        <v>100</v>
      </c>
      <c r="B8" s="75">
        <v>18</v>
      </c>
      <c r="C8" s="101">
        <v>6</v>
      </c>
      <c r="D8" s="102">
        <f>B8/C8</f>
        <v>3</v>
      </c>
      <c r="H8" s="45"/>
      <c r="I8" s="45"/>
      <c r="J8" s="45"/>
    </row>
    <row r="9" spans="1:16" x14ac:dyDescent="0.3">
      <c r="A9" t="s">
        <v>101</v>
      </c>
      <c r="B9" s="75">
        <v>50</v>
      </c>
      <c r="C9" s="101">
        <v>7</v>
      </c>
      <c r="D9" s="102">
        <f t="shared" ref="D9:D11" si="0">B9/C9</f>
        <v>7.1428571428571432</v>
      </c>
      <c r="E9" s="45"/>
      <c r="F9" s="5">
        <v>937</v>
      </c>
      <c r="G9" s="46"/>
    </row>
    <row r="10" spans="1:16" x14ac:dyDescent="0.3">
      <c r="A10" t="s">
        <v>112</v>
      </c>
      <c r="B10" s="75">
        <v>50</v>
      </c>
      <c r="C10" s="101">
        <v>8</v>
      </c>
      <c r="D10" s="102">
        <f t="shared" si="0"/>
        <v>6.25</v>
      </c>
      <c r="E10" s="45"/>
      <c r="F10" s="5"/>
      <c r="G10" s="46"/>
    </row>
    <row r="11" spans="1:16" x14ac:dyDescent="0.3">
      <c r="A11" t="s">
        <v>113</v>
      </c>
      <c r="B11" s="75">
        <v>60</v>
      </c>
      <c r="C11" s="101">
        <v>15</v>
      </c>
      <c r="D11" s="102">
        <f t="shared" si="0"/>
        <v>4</v>
      </c>
      <c r="E11" s="45"/>
      <c r="F11" s="5"/>
      <c r="G11" s="46"/>
    </row>
    <row r="12" spans="1:16" x14ac:dyDescent="0.3">
      <c r="B12" s="76">
        <f>SUM(B8:B11)</f>
        <v>178</v>
      </c>
      <c r="C12" s="5"/>
      <c r="D12" s="103">
        <f>SUM(D8:D11)</f>
        <v>20.392857142857142</v>
      </c>
      <c r="F12" s="5"/>
    </row>
    <row r="13" spans="1:16" x14ac:dyDescent="0.3">
      <c r="C13" s="5"/>
      <c r="D13" s="5"/>
    </row>
    <row r="14" spans="1:16" ht="13.8" customHeight="1" x14ac:dyDescent="0.3">
      <c r="A14" s="15" t="s">
        <v>2</v>
      </c>
      <c r="B14" s="15" t="s">
        <v>3</v>
      </c>
      <c r="C14" s="15" t="s">
        <v>4</v>
      </c>
      <c r="D14" s="16" t="s">
        <v>5</v>
      </c>
      <c r="E14" s="15" t="s">
        <v>6</v>
      </c>
      <c r="F14" s="15" t="s">
        <v>7</v>
      </c>
      <c r="G14" s="15" t="s">
        <v>8</v>
      </c>
      <c r="H14" s="15" t="s">
        <v>9</v>
      </c>
      <c r="I14" s="15" t="s">
        <v>10</v>
      </c>
      <c r="J14" s="15" t="s">
        <v>11</v>
      </c>
      <c r="K14" s="15" t="s">
        <v>12</v>
      </c>
      <c r="L14" s="15" t="s">
        <v>13</v>
      </c>
      <c r="M14" s="15" t="s">
        <v>14</v>
      </c>
      <c r="N14" s="15" t="s">
        <v>15</v>
      </c>
      <c r="O14" s="15" t="s">
        <v>16</v>
      </c>
      <c r="P14" s="15" t="s">
        <v>17</v>
      </c>
    </row>
    <row r="15" spans="1:16" x14ac:dyDescent="0.3">
      <c r="A15" s="6" t="s">
        <v>93</v>
      </c>
      <c r="B15" s="48">
        <v>40</v>
      </c>
      <c r="C15" s="48">
        <v>1</v>
      </c>
      <c r="D15" s="65">
        <v>2976.46</v>
      </c>
      <c r="E15" s="6">
        <v>0</v>
      </c>
      <c r="F15" s="7">
        <f>$F$9*0</f>
        <v>0</v>
      </c>
      <c r="G15" s="6"/>
      <c r="H15" s="8">
        <f t="shared" ref="H15:H19" si="1">((D15+E15+F15+G15)*20%)</f>
        <v>595.29200000000003</v>
      </c>
      <c r="I15" s="8">
        <f>((E15+F15+G15+D15)*4.5%)</f>
        <v>133.94069999999999</v>
      </c>
      <c r="J15" s="8">
        <f t="shared" ref="J15:J19" si="2">D15*2%</f>
        <v>59.529200000000003</v>
      </c>
      <c r="K15" s="8">
        <f t="shared" ref="K15:K19" si="3">((G15+D15+E15+F15)*8%)</f>
        <v>238.11680000000001</v>
      </c>
      <c r="L15" s="8">
        <f t="shared" ref="L15:L19" si="4">((D15+E15+F15+G15)/12)</f>
        <v>248.03833333333333</v>
      </c>
      <c r="M15" s="9">
        <f t="shared" ref="M15:M19" si="5">L15*27.8%</f>
        <v>68.954656666666665</v>
      </c>
      <c r="N15" s="9">
        <f t="shared" ref="N15:N19" si="6">L15*8%</f>
        <v>19.843066666666665</v>
      </c>
      <c r="O15" s="8">
        <f t="shared" ref="O15:O19" si="7">((D15+E15+F15+G15)/12)</f>
        <v>248.03833333333333</v>
      </c>
      <c r="P15" s="8">
        <f t="shared" ref="P15:P19" si="8">O15/3</f>
        <v>82.679444444444442</v>
      </c>
    </row>
    <row r="16" spans="1:16" x14ac:dyDescent="0.3">
      <c r="A16" s="6" t="s">
        <v>107</v>
      </c>
      <c r="B16" s="48">
        <v>40</v>
      </c>
      <c r="C16" s="48">
        <v>1</v>
      </c>
      <c r="D16" s="65">
        <v>2836.71</v>
      </c>
      <c r="E16" s="6">
        <v>0</v>
      </c>
      <c r="F16" s="7">
        <f>$F$9*0</f>
        <v>0</v>
      </c>
      <c r="G16" s="6"/>
      <c r="H16" s="8">
        <f t="shared" ref="H16" si="9">((D16+E16+F16+G16)*20%)</f>
        <v>567.34199999999998</v>
      </c>
      <c r="I16" s="8">
        <f>((E16+F16+G16+D16)*4.5%)</f>
        <v>127.65195</v>
      </c>
      <c r="J16" s="8">
        <f t="shared" ref="J16" si="10">D16*2%</f>
        <v>56.734200000000001</v>
      </c>
      <c r="K16" s="8">
        <f t="shared" ref="K16" si="11">((G16+D16+E16+F16)*8%)</f>
        <v>226.93680000000001</v>
      </c>
      <c r="L16" s="8">
        <f t="shared" ref="L16" si="12">((D16+E16+F16+G16)/12)</f>
        <v>236.39250000000001</v>
      </c>
      <c r="M16" s="9">
        <f t="shared" ref="M16" si="13">L16*27.8%</f>
        <v>65.717115000000007</v>
      </c>
      <c r="N16" s="9">
        <f t="shared" ref="N16" si="14">L16*8%</f>
        <v>18.9114</v>
      </c>
      <c r="O16" s="8">
        <f t="shared" ref="O16" si="15">((D16+E16+F16+G16)/12)</f>
        <v>236.39250000000001</v>
      </c>
      <c r="P16" s="8">
        <f t="shared" ref="P16" si="16">O16/3</f>
        <v>78.797499999999999</v>
      </c>
    </row>
    <row r="17" spans="1:17" x14ac:dyDescent="0.3">
      <c r="A17" s="6" t="s">
        <v>94</v>
      </c>
      <c r="B17" s="48">
        <v>40</v>
      </c>
      <c r="C17" s="48">
        <v>4</v>
      </c>
      <c r="D17" s="65">
        <f>2619*C17</f>
        <v>10476</v>
      </c>
      <c r="E17" s="6">
        <v>0</v>
      </c>
      <c r="F17" s="7">
        <f t="shared" ref="F17:F21" si="17">$F$9*0</f>
        <v>0</v>
      </c>
      <c r="G17" s="6"/>
      <c r="H17" s="8">
        <f t="shared" si="1"/>
        <v>2095.2000000000003</v>
      </c>
      <c r="I17" s="8">
        <f t="shared" ref="I17:I19" si="18">((E17+F17+G17+D17)*4.5%)</f>
        <v>471.41999999999996</v>
      </c>
      <c r="J17" s="8">
        <f t="shared" si="2"/>
        <v>209.52</v>
      </c>
      <c r="K17" s="8">
        <f t="shared" si="3"/>
        <v>838.08</v>
      </c>
      <c r="L17" s="8">
        <f t="shared" si="4"/>
        <v>873</v>
      </c>
      <c r="M17" s="9">
        <f t="shared" si="5"/>
        <v>242.69400000000002</v>
      </c>
      <c r="N17" s="9">
        <f t="shared" si="6"/>
        <v>69.84</v>
      </c>
      <c r="O17" s="8">
        <f t="shared" si="7"/>
        <v>873</v>
      </c>
      <c r="P17" s="8">
        <f t="shared" si="8"/>
        <v>291</v>
      </c>
    </row>
    <row r="18" spans="1:17" x14ac:dyDescent="0.3">
      <c r="A18" s="6" t="s">
        <v>109</v>
      </c>
      <c r="B18" s="48">
        <v>40</v>
      </c>
      <c r="C18" s="48">
        <v>15</v>
      </c>
      <c r="D18" s="65">
        <f>1691*C18</f>
        <v>25365</v>
      </c>
      <c r="E18" s="6">
        <v>0</v>
      </c>
      <c r="F18" s="7">
        <f t="shared" si="17"/>
        <v>0</v>
      </c>
      <c r="G18" s="6"/>
      <c r="H18" s="8">
        <f t="shared" si="1"/>
        <v>5073</v>
      </c>
      <c r="I18" s="8">
        <f t="shared" si="18"/>
        <v>1141.425</v>
      </c>
      <c r="J18" s="8">
        <f t="shared" si="2"/>
        <v>507.3</v>
      </c>
      <c r="K18" s="8">
        <f t="shared" si="3"/>
        <v>2029.2</v>
      </c>
      <c r="L18" s="8">
        <f t="shared" si="4"/>
        <v>2113.75</v>
      </c>
      <c r="M18" s="9">
        <f t="shared" si="5"/>
        <v>587.62250000000006</v>
      </c>
      <c r="N18" s="9">
        <f t="shared" si="6"/>
        <v>169.1</v>
      </c>
      <c r="O18" s="8">
        <f t="shared" si="7"/>
        <v>2113.75</v>
      </c>
      <c r="P18" s="8">
        <f t="shared" si="8"/>
        <v>704.58333333333337</v>
      </c>
    </row>
    <row r="19" spans="1:17" x14ac:dyDescent="0.3">
      <c r="A19" s="6" t="s">
        <v>110</v>
      </c>
      <c r="B19" s="48">
        <v>40</v>
      </c>
      <c r="C19" s="48">
        <v>1</v>
      </c>
      <c r="D19" s="65">
        <v>1442</v>
      </c>
      <c r="E19" s="6">
        <v>0</v>
      </c>
      <c r="F19" s="7">
        <f t="shared" si="17"/>
        <v>0</v>
      </c>
      <c r="G19" s="6"/>
      <c r="H19" s="8">
        <f t="shared" si="1"/>
        <v>288.40000000000003</v>
      </c>
      <c r="I19" s="8">
        <f t="shared" si="18"/>
        <v>64.89</v>
      </c>
      <c r="J19" s="8">
        <f t="shared" si="2"/>
        <v>28.84</v>
      </c>
      <c r="K19" s="8">
        <f t="shared" si="3"/>
        <v>115.36</v>
      </c>
      <c r="L19" s="8">
        <f t="shared" si="4"/>
        <v>120.16666666666667</v>
      </c>
      <c r="M19" s="9">
        <f t="shared" si="5"/>
        <v>33.406333333333336</v>
      </c>
      <c r="N19" s="9">
        <f t="shared" si="6"/>
        <v>9.6133333333333333</v>
      </c>
      <c r="O19" s="8">
        <f t="shared" si="7"/>
        <v>120.16666666666667</v>
      </c>
      <c r="P19" s="8">
        <f t="shared" si="8"/>
        <v>40.055555555555557</v>
      </c>
    </row>
    <row r="20" spans="1:17" x14ac:dyDescent="0.3">
      <c r="A20" s="6" t="s">
        <v>108</v>
      </c>
      <c r="B20" s="48">
        <v>40</v>
      </c>
      <c r="C20" s="48">
        <v>1</v>
      </c>
      <c r="D20" s="65">
        <v>1442</v>
      </c>
      <c r="E20" s="6">
        <v>0</v>
      </c>
      <c r="F20" s="7">
        <f t="shared" si="17"/>
        <v>0</v>
      </c>
      <c r="G20" s="6"/>
      <c r="H20" s="8">
        <f t="shared" ref="H20" si="19">((D20+E20+F20+G20)*20%)</f>
        <v>288.40000000000003</v>
      </c>
      <c r="I20" s="8">
        <f t="shared" ref="I20" si="20">((E20+F20+G20+D20)*4.5%)</f>
        <v>64.89</v>
      </c>
      <c r="J20" s="8">
        <f t="shared" ref="J20" si="21">D20*2%</f>
        <v>28.84</v>
      </c>
      <c r="K20" s="8">
        <f t="shared" ref="K20" si="22">((G20+D20+E20+F20)*8%)</f>
        <v>115.36</v>
      </c>
      <c r="L20" s="8">
        <f t="shared" ref="L20" si="23">((D20+E20+F20+G20)/12)</f>
        <v>120.16666666666667</v>
      </c>
      <c r="M20" s="9">
        <f t="shared" ref="M20" si="24">L20*27.8%</f>
        <v>33.406333333333336</v>
      </c>
      <c r="N20" s="9">
        <f t="shared" ref="N20" si="25">L20*8%</f>
        <v>9.6133333333333333</v>
      </c>
      <c r="O20" s="8">
        <f t="shared" ref="O20" si="26">((D20+E20+F20+G20)/12)</f>
        <v>120.16666666666667</v>
      </c>
      <c r="P20" s="8">
        <f t="shared" ref="P20" si="27">O20/3</f>
        <v>40.055555555555557</v>
      </c>
    </row>
    <row r="21" spans="1:17" x14ac:dyDescent="0.3">
      <c r="A21" s="6" t="s">
        <v>105</v>
      </c>
      <c r="B21" s="48">
        <v>40</v>
      </c>
      <c r="C21" s="48">
        <v>3</v>
      </c>
      <c r="D21" s="65">
        <f>1442*C21</f>
        <v>4326</v>
      </c>
      <c r="E21" s="6">
        <v>0</v>
      </c>
      <c r="F21" s="7">
        <f t="shared" si="17"/>
        <v>0</v>
      </c>
      <c r="G21" s="6"/>
      <c r="H21" s="8">
        <f t="shared" ref="H21" si="28">((D21+E21+F21+G21)*20%)</f>
        <v>865.2</v>
      </c>
      <c r="I21" s="8">
        <f t="shared" ref="I21" si="29">((E21+F21+G21+D21)*4.5%)</f>
        <v>194.67</v>
      </c>
      <c r="J21" s="8">
        <f t="shared" ref="J21" si="30">D21*2%</f>
        <v>86.52</v>
      </c>
      <c r="K21" s="8">
        <f t="shared" ref="K21" si="31">((G21+D21+E21+F21)*8%)</f>
        <v>346.08</v>
      </c>
      <c r="L21" s="8">
        <f t="shared" ref="L21" si="32">((D21+E21+F21+G21)/12)</f>
        <v>360.5</v>
      </c>
      <c r="M21" s="9">
        <f t="shared" ref="M21" si="33">L21*27.8%</f>
        <v>100.21900000000001</v>
      </c>
      <c r="N21" s="9">
        <f t="shared" ref="N21" si="34">L21*8%</f>
        <v>28.84</v>
      </c>
      <c r="O21" s="8">
        <f t="shared" ref="O21" si="35">((D21+E21+F21+G21)/12)</f>
        <v>360.5</v>
      </c>
      <c r="P21" s="8">
        <f t="shared" ref="P21" si="36">O21/3</f>
        <v>120.16666666666667</v>
      </c>
    </row>
    <row r="22" spans="1:17" x14ac:dyDescent="0.3">
      <c r="A22" s="105"/>
      <c r="B22" s="105"/>
      <c r="C22" s="105"/>
      <c r="D22" s="105"/>
      <c r="E22" s="105"/>
      <c r="F22" s="105"/>
      <c r="G22" s="105"/>
      <c r="H22" s="105"/>
      <c r="I22" s="105"/>
      <c r="J22" s="105"/>
      <c r="K22" s="105"/>
      <c r="L22" s="105"/>
      <c r="M22" s="105"/>
      <c r="N22" s="105"/>
      <c r="O22" s="105"/>
      <c r="P22" s="105"/>
      <c r="Q22" s="105"/>
    </row>
    <row r="23" spans="1:17" s="18" customFormat="1" ht="15.6" x14ac:dyDescent="0.3">
      <c r="A23" s="80" t="s">
        <v>25</v>
      </c>
      <c r="B23" s="81"/>
      <c r="C23" s="81">
        <f t="shared" ref="C23:P23" si="37">SUM(C15:C21)</f>
        <v>26</v>
      </c>
      <c r="D23" s="82">
        <f t="shared" si="37"/>
        <v>48864.17</v>
      </c>
      <c r="E23" s="82">
        <f t="shared" si="37"/>
        <v>0</v>
      </c>
      <c r="F23" s="82">
        <f t="shared" si="37"/>
        <v>0</v>
      </c>
      <c r="G23" s="82">
        <f t="shared" si="37"/>
        <v>0</v>
      </c>
      <c r="H23" s="82">
        <f t="shared" si="37"/>
        <v>9772.8340000000007</v>
      </c>
      <c r="I23" s="82">
        <f t="shared" si="37"/>
        <v>2198.8876500000001</v>
      </c>
      <c r="J23" s="82">
        <f t="shared" si="37"/>
        <v>977.28340000000003</v>
      </c>
      <c r="K23" s="82">
        <f t="shared" si="37"/>
        <v>3909.1336000000001</v>
      </c>
      <c r="L23" s="82">
        <f t="shared" si="37"/>
        <v>4072.0141666666664</v>
      </c>
      <c r="M23" s="82">
        <f t="shared" si="37"/>
        <v>1132.0199383333334</v>
      </c>
      <c r="N23" s="82">
        <f t="shared" si="37"/>
        <v>325.76113333333336</v>
      </c>
      <c r="O23" s="82">
        <f t="shared" si="37"/>
        <v>4072.0141666666664</v>
      </c>
      <c r="P23" s="82">
        <f t="shared" si="37"/>
        <v>1357.3380555555559</v>
      </c>
    </row>
    <row r="24" spans="1:17" x14ac:dyDescent="0.3">
      <c r="A24" s="2"/>
      <c r="B24" s="2"/>
      <c r="C24" s="2"/>
      <c r="D24" s="2"/>
      <c r="E24" s="2"/>
      <c r="F24" s="2"/>
      <c r="G24" s="2"/>
      <c r="H24" s="2"/>
      <c r="I24" s="2"/>
      <c r="J24" s="2"/>
      <c r="K24" s="2"/>
      <c r="L24" s="2"/>
      <c r="M24" s="2"/>
      <c r="N24" s="2"/>
      <c r="O24" s="2"/>
      <c r="P24" s="2"/>
      <c r="Q24" s="2"/>
    </row>
    <row r="25" spans="1:17" x14ac:dyDescent="0.3">
      <c r="D25" s="104"/>
      <c r="I25" s="15" t="s">
        <v>18</v>
      </c>
      <c r="J25" s="15" t="s">
        <v>19</v>
      </c>
      <c r="K25" s="15" t="s">
        <v>20</v>
      </c>
      <c r="L25" s="15" t="s">
        <v>21</v>
      </c>
      <c r="M25" s="16" t="s">
        <v>114</v>
      </c>
      <c r="N25" s="15" t="s">
        <v>22</v>
      </c>
      <c r="O25" s="15" t="s">
        <v>23</v>
      </c>
      <c r="P25" s="15" t="s">
        <v>24</v>
      </c>
    </row>
    <row r="26" spans="1:17" x14ac:dyDescent="0.3">
      <c r="I26" s="8">
        <f t="shared" ref="I26:I32" si="38">((O15+P15)*27.8%)</f>
        <v>91.939542222222229</v>
      </c>
      <c r="J26" s="8">
        <f t="shared" ref="J26:J32" si="39">((O15+P15)*8%)</f>
        <v>26.45742222222222</v>
      </c>
      <c r="K26" s="8">
        <f t="shared" ref="K26:K32" si="40">(((K15+N15+J26)*50%))</f>
        <v>142.20864444444447</v>
      </c>
      <c r="L26" s="8">
        <f t="shared" ref="L26:L32" si="41">C15*21*22</f>
        <v>462</v>
      </c>
      <c r="M26" s="8">
        <f>D15*5.5%</f>
        <v>163.70529999999999</v>
      </c>
      <c r="N26" s="8">
        <f t="shared" ref="N26:N32" si="42">39.2*C15</f>
        <v>39.200000000000003</v>
      </c>
      <c r="O26" s="8">
        <f t="shared" ref="O26:O32" si="43">(((D15+F15+L15+O15+P15)*1%))</f>
        <v>35.552161111111111</v>
      </c>
      <c r="P26" s="9">
        <f t="shared" ref="P26:P32" si="44">SUM(D15:P15,I26:O26)</f>
        <v>5631.9556044444425</v>
      </c>
    </row>
    <row r="27" spans="1:17" x14ac:dyDescent="0.3">
      <c r="I27" s="8">
        <f t="shared" si="38"/>
        <v>87.622820000000004</v>
      </c>
      <c r="J27" s="8">
        <f t="shared" si="39"/>
        <v>25.215199999999999</v>
      </c>
      <c r="K27" s="8">
        <f t="shared" si="40"/>
        <v>135.5317</v>
      </c>
      <c r="L27" s="8">
        <f t="shared" si="41"/>
        <v>462</v>
      </c>
      <c r="M27" s="8">
        <f t="shared" ref="M27:M32" si="45">D16*5.5%</f>
        <v>156.01904999999999</v>
      </c>
      <c r="N27" s="8">
        <f t="shared" si="42"/>
        <v>39.200000000000003</v>
      </c>
      <c r="O27" s="8">
        <f t="shared" si="43"/>
        <v>33.882925</v>
      </c>
      <c r="P27" s="9">
        <f t="shared" si="44"/>
        <v>5391.0576599999986</v>
      </c>
    </row>
    <row r="28" spans="1:17" x14ac:dyDescent="0.3">
      <c r="I28" s="8">
        <f t="shared" si="38"/>
        <v>323.59200000000004</v>
      </c>
      <c r="J28" s="8">
        <f t="shared" si="39"/>
        <v>93.12</v>
      </c>
      <c r="K28" s="8">
        <f t="shared" si="40"/>
        <v>500.52000000000004</v>
      </c>
      <c r="L28" s="8">
        <f t="shared" si="41"/>
        <v>1848</v>
      </c>
      <c r="M28" s="8">
        <f t="shared" si="45"/>
        <v>576.17999999999995</v>
      </c>
      <c r="N28" s="8">
        <f t="shared" si="42"/>
        <v>156.80000000000001</v>
      </c>
      <c r="O28" s="8">
        <f t="shared" si="43"/>
        <v>125.13000000000001</v>
      </c>
      <c r="P28" s="9">
        <f t="shared" si="44"/>
        <v>20063.096000000001</v>
      </c>
    </row>
    <row r="29" spans="1:17" x14ac:dyDescent="0.3">
      <c r="I29" s="8">
        <f t="shared" si="38"/>
        <v>783.49666666666678</v>
      </c>
      <c r="J29" s="8">
        <f t="shared" si="39"/>
        <v>225.4666666666667</v>
      </c>
      <c r="K29" s="8">
        <f t="shared" si="40"/>
        <v>1211.8833333333334</v>
      </c>
      <c r="L29" s="8">
        <f t="shared" si="41"/>
        <v>6930</v>
      </c>
      <c r="M29" s="8">
        <f t="shared" si="45"/>
        <v>1395.075</v>
      </c>
      <c r="N29" s="8">
        <f t="shared" si="42"/>
        <v>588</v>
      </c>
      <c r="O29" s="8">
        <f t="shared" si="43"/>
        <v>302.9708333333333</v>
      </c>
      <c r="P29" s="9">
        <f t="shared" si="44"/>
        <v>51241.623333333322</v>
      </c>
    </row>
    <row r="30" spans="1:17" x14ac:dyDescent="0.3">
      <c r="I30" s="8">
        <f t="shared" si="38"/>
        <v>44.541777777777781</v>
      </c>
      <c r="J30" s="8">
        <f t="shared" si="39"/>
        <v>12.817777777777778</v>
      </c>
      <c r="K30" s="8">
        <f t="shared" si="40"/>
        <v>68.895555555555546</v>
      </c>
      <c r="L30" s="8">
        <f t="shared" si="41"/>
        <v>462</v>
      </c>
      <c r="M30" s="8">
        <f t="shared" si="45"/>
        <v>79.31</v>
      </c>
      <c r="N30" s="8">
        <f t="shared" si="42"/>
        <v>39.200000000000003</v>
      </c>
      <c r="O30" s="8">
        <f t="shared" si="43"/>
        <v>17.22388888888889</v>
      </c>
      <c r="P30" s="9">
        <f t="shared" si="44"/>
        <v>2986.8875555555551</v>
      </c>
    </row>
    <row r="31" spans="1:17" x14ac:dyDescent="0.3">
      <c r="I31" s="8">
        <f t="shared" si="38"/>
        <v>44.541777777777781</v>
      </c>
      <c r="J31" s="8">
        <f t="shared" si="39"/>
        <v>12.817777777777778</v>
      </c>
      <c r="K31" s="8">
        <f t="shared" si="40"/>
        <v>68.895555555555546</v>
      </c>
      <c r="L31" s="8">
        <f t="shared" si="41"/>
        <v>462</v>
      </c>
      <c r="M31" s="8">
        <f t="shared" si="45"/>
        <v>79.31</v>
      </c>
      <c r="N31" s="8">
        <f t="shared" si="42"/>
        <v>39.200000000000003</v>
      </c>
      <c r="O31" s="8">
        <f t="shared" si="43"/>
        <v>17.22388888888889</v>
      </c>
      <c r="P31" s="9">
        <f t="shared" si="44"/>
        <v>2986.8875555555551</v>
      </c>
    </row>
    <row r="32" spans="1:17" x14ac:dyDescent="0.3">
      <c r="I32" s="8">
        <f t="shared" si="38"/>
        <v>133.62533333333334</v>
      </c>
      <c r="J32" s="8">
        <f t="shared" si="39"/>
        <v>38.453333333333333</v>
      </c>
      <c r="K32" s="8">
        <f t="shared" si="40"/>
        <v>206.68666666666664</v>
      </c>
      <c r="L32" s="8">
        <f t="shared" si="41"/>
        <v>1386</v>
      </c>
      <c r="M32" s="8">
        <f t="shared" si="45"/>
        <v>237.93</v>
      </c>
      <c r="N32" s="8">
        <f t="shared" si="42"/>
        <v>117.60000000000001</v>
      </c>
      <c r="O32" s="8">
        <f t="shared" si="43"/>
        <v>51.671666666666674</v>
      </c>
      <c r="P32" s="9">
        <f t="shared" si="44"/>
        <v>8960.6626666666671</v>
      </c>
    </row>
    <row r="34" spans="9:17" ht="15.6" x14ac:dyDescent="0.3">
      <c r="I34" s="17">
        <f t="shared" ref="I34:N34" si="46">SUM(I26:I32)</f>
        <v>1509.3599177777778</v>
      </c>
      <c r="J34" s="17">
        <f t="shared" si="46"/>
        <v>434.34817777777783</v>
      </c>
      <c r="K34" s="17">
        <f t="shared" si="46"/>
        <v>2334.6214555555553</v>
      </c>
      <c r="L34" s="17">
        <f t="shared" si="46"/>
        <v>12012</v>
      </c>
      <c r="M34" s="17">
        <f t="shared" si="46"/>
        <v>2687.5293499999998</v>
      </c>
      <c r="N34" s="17">
        <f t="shared" si="46"/>
        <v>1019.2000000000002</v>
      </c>
      <c r="O34" s="17">
        <f t="shared" ref="O34:P34" si="47">SUM(O26:O32)</f>
        <v>583.6553638888887</v>
      </c>
      <c r="P34" s="17">
        <f t="shared" si="47"/>
        <v>97262.17037555555</v>
      </c>
      <c r="Q34" s="42">
        <f>P34/I6</f>
        <v>0.80559369110644208</v>
      </c>
    </row>
  </sheetData>
  <autoFilter ref="A14:Q21" xr:uid="{00000000-0009-0000-0000-000000000000}"/>
  <mergeCells count="1">
    <mergeCell ref="A22:Q22"/>
  </mergeCells>
  <phoneticPr fontId="5" type="noConversion"/>
  <pageMargins left="0.23622047244094491" right="0.23622047244094491" top="0.74803149606299213" bottom="0.74803149606299213" header="0.31496062992125984" footer="0.31496062992125984"/>
  <pageSetup paperSize="9" scale="69" orientation="landscape" horizontalDpi="4294967293" verticalDpi="4294967293" r:id="rId1"/>
  <headerFooter>
    <oddHeader>&amp;R&amp;"-,Negrito itálico"&amp;D</oddHeader>
    <oddFooter>&amp;R&amp;"-,Negrito itálico"Edson Oliveira - Controladoria IGEVE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I38"/>
  <sheetViews>
    <sheetView topLeftCell="A17" zoomScale="120" zoomScaleNormal="120" workbookViewId="0">
      <selection activeCell="H37" sqref="H37"/>
    </sheetView>
  </sheetViews>
  <sheetFormatPr defaultColWidth="8.88671875" defaultRowHeight="14.4" x14ac:dyDescent="0.3"/>
  <cols>
    <col min="1" max="1" width="2.6640625" customWidth="1"/>
    <col min="2" max="2" width="6.88671875" bestFit="1" customWidth="1"/>
    <col min="3" max="3" width="46.109375" customWidth="1"/>
    <col min="4" max="4" width="9.77734375" bestFit="1" customWidth="1"/>
    <col min="5" max="5" width="4.88671875" bestFit="1" customWidth="1"/>
    <col min="6" max="6" width="12.5546875" customWidth="1"/>
    <col min="7" max="7" width="16.109375" customWidth="1"/>
    <col min="8" max="8" width="14.21875" bestFit="1" customWidth="1"/>
    <col min="9" max="9" width="7.6640625" bestFit="1" customWidth="1"/>
  </cols>
  <sheetData>
    <row r="2" spans="2:9" ht="18" x14ac:dyDescent="0.35">
      <c r="B2" s="115"/>
      <c r="C2" s="115"/>
      <c r="D2" s="115"/>
      <c r="E2" s="115"/>
      <c r="F2" s="115"/>
      <c r="G2" s="115"/>
    </row>
    <row r="3" spans="2:9" ht="18" x14ac:dyDescent="0.35">
      <c r="B3" s="115"/>
      <c r="C3" s="115"/>
      <c r="D3" s="115"/>
      <c r="E3" s="115"/>
      <c r="F3" s="115"/>
      <c r="G3" s="115"/>
    </row>
    <row r="4" spans="2:9" ht="8.1" customHeight="1" x14ac:dyDescent="0.3">
      <c r="B4" s="11"/>
      <c r="C4" s="11"/>
      <c r="D4" s="11"/>
      <c r="E4" s="11"/>
      <c r="F4" s="11"/>
      <c r="G4" s="11"/>
    </row>
    <row r="5" spans="2:9" ht="15.6" x14ac:dyDescent="0.3">
      <c r="B5" s="117"/>
      <c r="C5" s="117"/>
      <c r="D5" s="117"/>
      <c r="E5" s="117"/>
      <c r="F5" s="117"/>
      <c r="G5" s="117"/>
    </row>
    <row r="6" spans="2:9" ht="6" customHeight="1" x14ac:dyDescent="0.3"/>
    <row r="7" spans="2:9" x14ac:dyDescent="0.3">
      <c r="B7" s="116"/>
      <c r="C7" s="116"/>
      <c r="D7" s="116"/>
      <c r="E7" s="116"/>
      <c r="F7" s="116"/>
      <c r="G7" s="116"/>
    </row>
    <row r="8" spans="2:9" ht="15.6" x14ac:dyDescent="0.3">
      <c r="B8" s="14" t="s">
        <v>111</v>
      </c>
      <c r="C8" s="54"/>
      <c r="D8" s="54"/>
      <c r="E8" s="54"/>
      <c r="F8" s="54"/>
      <c r="G8" s="54"/>
    </row>
    <row r="9" spans="2:9" x14ac:dyDescent="0.3">
      <c r="B9" t="s">
        <v>100</v>
      </c>
      <c r="C9" s="54"/>
      <c r="D9" s="75">
        <v>18</v>
      </c>
      <c r="E9" s="54"/>
      <c r="F9" s="54"/>
      <c r="G9" s="54"/>
    </row>
    <row r="10" spans="2:9" x14ac:dyDescent="0.3">
      <c r="B10" t="s">
        <v>101</v>
      </c>
      <c r="D10" s="75">
        <v>50</v>
      </c>
    </row>
    <row r="11" spans="2:9" x14ac:dyDescent="0.3">
      <c r="B11" t="s">
        <v>112</v>
      </c>
      <c r="D11" s="75">
        <v>50</v>
      </c>
    </row>
    <row r="12" spans="2:9" x14ac:dyDescent="0.3">
      <c r="B12" t="s">
        <v>113</v>
      </c>
      <c r="D12" s="75">
        <v>60</v>
      </c>
    </row>
    <row r="13" spans="2:9" ht="15" thickBot="1" x14ac:dyDescent="0.35">
      <c r="D13" s="76">
        <f>SUM(D9:D12)</f>
        <v>178</v>
      </c>
    </row>
    <row r="14" spans="2:9" x14ac:dyDescent="0.3">
      <c r="B14" s="112" t="s">
        <v>29</v>
      </c>
      <c r="C14" s="113"/>
      <c r="D14" s="113"/>
      <c r="E14" s="113"/>
      <c r="F14" s="113"/>
      <c r="G14" s="113"/>
      <c r="H14" s="114"/>
    </row>
    <row r="15" spans="2:9" ht="15" thickBot="1" x14ac:dyDescent="0.35">
      <c r="B15" s="107" t="s">
        <v>30</v>
      </c>
      <c r="C15" s="107"/>
      <c r="D15" s="68"/>
      <c r="E15" s="68"/>
      <c r="F15" s="68"/>
      <c r="G15" s="19" t="s">
        <v>31</v>
      </c>
      <c r="H15" s="20" t="s">
        <v>32</v>
      </c>
    </row>
    <row r="16" spans="2:9" x14ac:dyDescent="0.3">
      <c r="B16" s="108" t="s">
        <v>33</v>
      </c>
      <c r="C16" s="108"/>
      <c r="D16" s="69"/>
      <c r="E16" s="69"/>
      <c r="F16" s="69"/>
      <c r="G16" s="21">
        <f>SUM(G17:G20)</f>
        <v>97262.170375555565</v>
      </c>
      <c r="H16" s="22">
        <f>SUM(H17:H20)</f>
        <v>97262.170375555565</v>
      </c>
      <c r="I16" s="41">
        <f>H16/H36</f>
        <v>0.97487366191457836</v>
      </c>
    </row>
    <row r="17" spans="2:9" x14ac:dyDescent="0.3">
      <c r="B17" s="3" t="s">
        <v>34</v>
      </c>
      <c r="C17" s="4" t="s">
        <v>35</v>
      </c>
      <c r="D17" s="4"/>
      <c r="E17" s="4"/>
      <c r="F17" s="4"/>
      <c r="G17" s="12">
        <f>VPTA!D23</f>
        <v>48864.17</v>
      </c>
      <c r="H17" s="13">
        <f t="shared" ref="H17:H22" si="0">G17</f>
        <v>48864.17</v>
      </c>
    </row>
    <row r="18" spans="2:9" x14ac:dyDescent="0.3">
      <c r="B18" s="3" t="s">
        <v>36</v>
      </c>
      <c r="C18" s="4" t="s">
        <v>37</v>
      </c>
      <c r="D18" s="4"/>
      <c r="E18" s="4"/>
      <c r="F18" s="4"/>
      <c r="G18" s="12">
        <f>VPTA!M34+VPTA!N34+VPTA!L34</f>
        <v>15718.72935</v>
      </c>
      <c r="H18" s="13">
        <f t="shared" si="0"/>
        <v>15718.72935</v>
      </c>
    </row>
    <row r="19" spans="2:9" x14ac:dyDescent="0.3">
      <c r="B19" s="3" t="s">
        <v>38</v>
      </c>
      <c r="C19" s="4" t="s">
        <v>39</v>
      </c>
      <c r="D19" s="4"/>
      <c r="E19" s="4"/>
      <c r="F19" s="4"/>
      <c r="G19" s="12">
        <f>VPTA!G23+VPTA!H23+VPTA!I23+VPTA!J23+VPTA!K23+VPTA!L23+VPTA!M23+VPTA!N23+VPTA!O23+VPTA!O34</f>
        <v>27043.603418888892</v>
      </c>
      <c r="H19" s="13">
        <f t="shared" si="0"/>
        <v>27043.603418888892</v>
      </c>
      <c r="I19" s="47"/>
    </row>
    <row r="20" spans="2:9" x14ac:dyDescent="0.3">
      <c r="B20" s="3" t="s">
        <v>40</v>
      </c>
      <c r="C20" s="4" t="s">
        <v>41</v>
      </c>
      <c r="D20" s="4"/>
      <c r="E20" s="4"/>
      <c r="F20" s="4"/>
      <c r="G20" s="12">
        <f>VPTA!P23+VPTA!I34+VPTA!J34+VPTA!K34</f>
        <v>5635.6676066666669</v>
      </c>
      <c r="H20" s="13">
        <f t="shared" si="0"/>
        <v>5635.6676066666669</v>
      </c>
      <c r="I20" s="47"/>
    </row>
    <row r="21" spans="2:9" x14ac:dyDescent="0.3">
      <c r="B21" s="109" t="s">
        <v>42</v>
      </c>
      <c r="C21" s="109"/>
      <c r="D21" s="70" t="s">
        <v>98</v>
      </c>
      <c r="E21" s="70" t="s">
        <v>4</v>
      </c>
      <c r="F21" s="70" t="s">
        <v>99</v>
      </c>
      <c r="G21" s="23">
        <f>SUM(G22:G25)</f>
        <v>7000</v>
      </c>
      <c r="H21" s="23">
        <f>SUM(H22:H25)</f>
        <v>7000</v>
      </c>
    </row>
    <row r="22" spans="2:9" x14ac:dyDescent="0.3">
      <c r="B22" s="3" t="str">
        <f>'Plano Analitico'!B31</f>
        <v>2.1.</v>
      </c>
      <c r="C22" s="4" t="str">
        <f>'Plano Analitico'!C31</f>
        <v>Material Expediente</v>
      </c>
      <c r="D22" s="4"/>
      <c r="E22" s="4"/>
      <c r="F22" s="4"/>
      <c r="G22" s="12">
        <f>'Plano Analitico'!D31</f>
        <v>1000</v>
      </c>
      <c r="H22" s="13">
        <f t="shared" si="0"/>
        <v>1000</v>
      </c>
    </row>
    <row r="23" spans="2:9" x14ac:dyDescent="0.3">
      <c r="B23" s="3" t="str">
        <f>'Plano Analitico'!B32</f>
        <v>2.2.</v>
      </c>
      <c r="C23" s="4" t="str">
        <f>'Plano Analitico'!C32</f>
        <v>Material Pedagógico</v>
      </c>
      <c r="D23" s="4"/>
      <c r="E23" s="4"/>
      <c r="F23" s="4"/>
      <c r="G23" s="12">
        <f>'Plano Analitico'!D32</f>
        <v>1000</v>
      </c>
      <c r="H23" s="13">
        <f t="shared" ref="H23:H25" si="1">G23</f>
        <v>1000</v>
      </c>
    </row>
    <row r="24" spans="2:9" x14ac:dyDescent="0.3">
      <c r="B24" s="3" t="str">
        <f>'Plano Analitico'!B33</f>
        <v>2.3.</v>
      </c>
      <c r="C24" s="4" t="str">
        <f>'Plano Analitico'!C33</f>
        <v>Materiais para pequenos reparos/manutenção</v>
      </c>
      <c r="D24" s="4"/>
      <c r="E24" s="4"/>
      <c r="F24" s="4"/>
      <c r="G24" s="12">
        <f>'Plano Analitico'!D33</f>
        <v>2000</v>
      </c>
      <c r="H24" s="13">
        <f t="shared" si="1"/>
        <v>2000</v>
      </c>
    </row>
    <row r="25" spans="2:9" x14ac:dyDescent="0.3">
      <c r="B25" s="3" t="str">
        <f>'Plano Analitico'!B34</f>
        <v>2.4.</v>
      </c>
      <c r="C25" s="4" t="str">
        <f>'Plano Analitico'!C34</f>
        <v>Materiais de limpeza e higiene</v>
      </c>
      <c r="D25" s="4"/>
      <c r="E25" s="4"/>
      <c r="F25" s="4"/>
      <c r="G25" s="12">
        <f>'Plano Analitico'!D34</f>
        <v>3000</v>
      </c>
      <c r="H25" s="13">
        <f t="shared" si="1"/>
        <v>3000</v>
      </c>
    </row>
    <row r="26" spans="2:9" ht="15" thickBot="1" x14ac:dyDescent="0.35">
      <c r="B26" s="110" t="s">
        <v>43</v>
      </c>
      <c r="C26" s="111"/>
      <c r="D26" s="73"/>
      <c r="E26" s="73"/>
      <c r="F26" s="73"/>
      <c r="G26" s="57">
        <f>SUM(G27:G31)</f>
        <v>14000</v>
      </c>
      <c r="H26" s="57">
        <f>SUM(H27:H31)</f>
        <v>14000</v>
      </c>
    </row>
    <row r="27" spans="2:9" ht="15" thickTop="1" x14ac:dyDescent="0.3">
      <c r="B27" s="49" t="str">
        <f>'Plano Analitico'!B36</f>
        <v>3.1.</v>
      </c>
      <c r="C27" s="50" t="str">
        <f>'Plano Analitico'!C36</f>
        <v>Serviços Contábeis</v>
      </c>
      <c r="D27" s="50"/>
      <c r="E27" s="50"/>
      <c r="F27" s="50"/>
      <c r="G27" s="51">
        <f>'Plano Analitico'!J36</f>
        <v>3500</v>
      </c>
      <c r="H27" s="52">
        <f>G27</f>
        <v>3500</v>
      </c>
    </row>
    <row r="28" spans="2:9" x14ac:dyDescent="0.3">
      <c r="B28" s="49" t="str">
        <f>'Plano Analitico'!B37</f>
        <v>3.2.</v>
      </c>
      <c r="C28" s="50" t="str">
        <f>'Plano Analitico'!C37</f>
        <v>Serviços de Manutenção de Equipamentos</v>
      </c>
      <c r="D28" s="50"/>
      <c r="E28" s="50"/>
      <c r="F28" s="50"/>
      <c r="G28" s="51">
        <f>'Plano Analitico'!J37</f>
        <v>3000</v>
      </c>
      <c r="H28" s="13">
        <f>G28</f>
        <v>3000</v>
      </c>
    </row>
    <row r="29" spans="2:9" x14ac:dyDescent="0.3">
      <c r="B29" s="49" t="str">
        <f>'Plano Analitico'!B38</f>
        <v>3.3.</v>
      </c>
      <c r="C29" s="50" t="str">
        <f>'Plano Analitico'!C38</f>
        <v>Serviços de Locação de Equipamentos</v>
      </c>
      <c r="D29" s="50"/>
      <c r="E29" s="50"/>
      <c r="F29" s="50"/>
      <c r="G29" s="51">
        <f>'Plano Analitico'!J38</f>
        <v>3500</v>
      </c>
      <c r="H29" s="13">
        <f t="shared" ref="H29:H31" si="2">G29</f>
        <v>3500</v>
      </c>
    </row>
    <row r="30" spans="2:9" x14ac:dyDescent="0.3">
      <c r="B30" s="49" t="str">
        <f>'Plano Analitico'!B39</f>
        <v>3.4.</v>
      </c>
      <c r="C30" s="50" t="str">
        <f>'Plano Analitico'!C39</f>
        <v>Serviços de Manutenção e Pequenos Reparos Predial</v>
      </c>
      <c r="D30" s="50"/>
      <c r="E30" s="50"/>
      <c r="F30" s="50"/>
      <c r="G30" s="51">
        <f>'Plano Analitico'!J39</f>
        <v>3000</v>
      </c>
      <c r="H30" s="13">
        <f t="shared" si="2"/>
        <v>3000</v>
      </c>
    </row>
    <row r="31" spans="2:9" x14ac:dyDescent="0.3">
      <c r="B31" s="49" t="str">
        <f>'Plano Analitico'!B40</f>
        <v>3.5.</v>
      </c>
      <c r="C31" s="50" t="str">
        <f>'Plano Analitico'!C40</f>
        <v>Despesas Fixas (Utilidades)</v>
      </c>
      <c r="D31" s="50"/>
      <c r="E31" s="50"/>
      <c r="F31" s="50"/>
      <c r="G31" s="51">
        <f>'Plano Analitico'!J40</f>
        <v>1000</v>
      </c>
      <c r="H31" s="13">
        <f t="shared" si="2"/>
        <v>1000</v>
      </c>
    </row>
    <row r="32" spans="2:9" ht="15" thickBot="1" x14ac:dyDescent="0.35">
      <c r="B32" s="110" t="s">
        <v>44</v>
      </c>
      <c r="C32" s="110"/>
      <c r="D32" s="71"/>
      <c r="E32" s="71"/>
      <c r="F32" s="71"/>
      <c r="G32" s="57">
        <f>G33</f>
        <v>2471.36</v>
      </c>
      <c r="H32" s="58">
        <f>G32</f>
        <v>2471.36</v>
      </c>
    </row>
    <row r="33" spans="2:9" ht="15" thickTop="1" x14ac:dyDescent="0.3">
      <c r="B33" s="3"/>
      <c r="C33" s="4" t="s">
        <v>92</v>
      </c>
      <c r="D33" s="50"/>
      <c r="E33" s="50"/>
      <c r="F33" s="50"/>
      <c r="G33" s="51">
        <f>'Plano Analitico'!E42</f>
        <v>2471.36</v>
      </c>
      <c r="H33" s="52">
        <f>G33</f>
        <v>2471.36</v>
      </c>
    </row>
    <row r="34" spans="2:9" ht="15" thickBot="1" x14ac:dyDescent="0.35">
      <c r="B34" s="106" t="s">
        <v>28</v>
      </c>
      <c r="C34" s="106"/>
      <c r="D34" s="72"/>
      <c r="E34" s="72"/>
      <c r="F34" s="72"/>
      <c r="G34" s="24">
        <f>SUM(G16,G21,G26,G32)</f>
        <v>120733.53037555557</v>
      </c>
      <c r="H34" s="25">
        <f>G34</f>
        <v>120733.53037555557</v>
      </c>
      <c r="I34" s="40">
        <f>G34/H36</f>
        <v>1.2101307056856896</v>
      </c>
    </row>
    <row r="35" spans="2:9" ht="15" thickBot="1" x14ac:dyDescent="0.35"/>
    <row r="36" spans="2:9" ht="15" thickBot="1" x14ac:dyDescent="0.35">
      <c r="G36" s="43" t="s">
        <v>28</v>
      </c>
      <c r="H36" s="44">
        <f>VPTA!I3</f>
        <v>99769</v>
      </c>
    </row>
    <row r="37" spans="2:9" x14ac:dyDescent="0.3">
      <c r="G37" s="10"/>
    </row>
    <row r="38" spans="2:9" x14ac:dyDescent="0.3">
      <c r="G38" s="10"/>
      <c r="H38" s="56">
        <f>H36-H34</f>
        <v>-20964.530375555565</v>
      </c>
    </row>
  </sheetData>
  <mergeCells count="11">
    <mergeCell ref="B14:H14"/>
    <mergeCell ref="B2:G2"/>
    <mergeCell ref="B3:G3"/>
    <mergeCell ref="B7:G7"/>
    <mergeCell ref="B5:G5"/>
    <mergeCell ref="B34:C34"/>
    <mergeCell ref="B15:C15"/>
    <mergeCell ref="B16:C16"/>
    <mergeCell ref="B21:C21"/>
    <mergeCell ref="B26:C26"/>
    <mergeCell ref="B32:C32"/>
  </mergeCells>
  <phoneticPr fontId="5" type="noConversion"/>
  <pageMargins left="0.39370078740157483" right="0.39370078740157483" top="0.39370078740157483" bottom="0.39370078740157483" header="0.39370078740157483" footer="0.39370078740157483"/>
  <pageSetup paperSize="9" scale="78" orientation="portrait" horizontalDpi="1200" verticalDpi="1200" r:id="rId1"/>
  <headerFooter>
    <oddHeader>&amp;R&amp;"-,Negrito itálico"&amp;D</oddHeader>
    <oddFooter>&amp;R&amp;"-,Negrito itálico"Edson Oliveira - Controladoria IGEVE</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Q66"/>
  <sheetViews>
    <sheetView topLeftCell="A15" workbookViewId="0">
      <pane xSplit="3" topLeftCell="D1" activePane="topRight" state="frozen"/>
      <selection activeCell="C20" sqref="C20"/>
      <selection pane="topRight" activeCell="D18" sqref="D18"/>
    </sheetView>
  </sheetViews>
  <sheetFormatPr defaultColWidth="8.88671875" defaultRowHeight="14.4" x14ac:dyDescent="0.3"/>
  <cols>
    <col min="1" max="1" width="2.6640625" customWidth="1"/>
    <col min="2" max="2" width="7.44140625" customWidth="1"/>
    <col min="3" max="3" width="62.109375" customWidth="1"/>
    <col min="4" max="15" width="13.33203125" bestFit="1" customWidth="1"/>
    <col min="16" max="16" width="14.21875" style="30" bestFit="1" customWidth="1"/>
    <col min="17" max="17" width="5.6640625" style="38" bestFit="1" customWidth="1"/>
  </cols>
  <sheetData>
    <row r="2" spans="2:16" ht="18" x14ac:dyDescent="0.35">
      <c r="B2" s="115"/>
      <c r="C2" s="115"/>
    </row>
    <row r="3" spans="2:16" ht="18" x14ac:dyDescent="0.35">
      <c r="B3" s="115"/>
      <c r="C3" s="115"/>
    </row>
    <row r="4" spans="2:16" ht="8.1" customHeight="1" x14ac:dyDescent="0.3">
      <c r="B4" s="11"/>
      <c r="C4" s="11"/>
    </row>
    <row r="5" spans="2:16" ht="15.6" x14ac:dyDescent="0.3">
      <c r="B5" s="117"/>
      <c r="C5" s="117"/>
    </row>
    <row r="6" spans="2:16" ht="6" customHeight="1" x14ac:dyDescent="0.3"/>
    <row r="7" spans="2:16" x14ac:dyDescent="0.3">
      <c r="B7" s="116"/>
      <c r="C7" s="116"/>
    </row>
    <row r="8" spans="2:16" ht="15.6" x14ac:dyDescent="0.3">
      <c r="B8" s="14" t="s">
        <v>111</v>
      </c>
      <c r="C8" s="54"/>
    </row>
    <row r="9" spans="2:16" x14ac:dyDescent="0.3">
      <c r="B9" t="s">
        <v>100</v>
      </c>
      <c r="C9" s="54"/>
      <c r="D9" s="75">
        <v>18</v>
      </c>
    </row>
    <row r="10" spans="2:16" x14ac:dyDescent="0.3">
      <c r="B10" t="s">
        <v>101</v>
      </c>
      <c r="D10" s="75">
        <v>50</v>
      </c>
    </row>
    <row r="11" spans="2:16" x14ac:dyDescent="0.3">
      <c r="B11" t="s">
        <v>112</v>
      </c>
      <c r="D11" s="75">
        <v>50</v>
      </c>
    </row>
    <row r="12" spans="2:16" x14ac:dyDescent="0.3">
      <c r="B12" t="s">
        <v>113</v>
      </c>
      <c r="D12" s="75">
        <v>60</v>
      </c>
    </row>
    <row r="13" spans="2:16" x14ac:dyDescent="0.3">
      <c r="D13" s="76">
        <f>SUM(D9:D12)</f>
        <v>178</v>
      </c>
      <c r="P13" s="1"/>
    </row>
    <row r="14" spans="2:16" x14ac:dyDescent="0.3">
      <c r="B14" s="121" t="s">
        <v>29</v>
      </c>
      <c r="C14" s="122"/>
      <c r="D14" s="122"/>
      <c r="E14" s="122"/>
      <c r="F14" s="122"/>
      <c r="G14" s="122"/>
      <c r="H14" s="122"/>
      <c r="I14" s="122"/>
      <c r="J14" s="122"/>
      <c r="K14" s="122"/>
      <c r="L14" s="122"/>
      <c r="M14" s="122"/>
      <c r="N14" s="122"/>
      <c r="O14" s="122"/>
      <c r="P14" s="122"/>
    </row>
    <row r="15" spans="2:16" ht="15" thickBot="1" x14ac:dyDescent="0.35">
      <c r="B15" s="130" t="s">
        <v>30</v>
      </c>
      <c r="C15" s="131"/>
      <c r="D15" s="53" t="s">
        <v>45</v>
      </c>
      <c r="E15" s="53" t="s">
        <v>46</v>
      </c>
      <c r="F15" s="53" t="s">
        <v>47</v>
      </c>
      <c r="G15" s="53" t="s">
        <v>48</v>
      </c>
      <c r="H15" s="53" t="s">
        <v>49</v>
      </c>
      <c r="I15" s="53" t="s">
        <v>50</v>
      </c>
      <c r="J15" s="53" t="s">
        <v>51</v>
      </c>
      <c r="K15" s="53" t="s">
        <v>52</v>
      </c>
      <c r="L15" s="53" t="s">
        <v>53</v>
      </c>
      <c r="M15" s="53" t="s">
        <v>54</v>
      </c>
      <c r="N15" s="53" t="s">
        <v>55</v>
      </c>
      <c r="O15" s="53" t="s">
        <v>56</v>
      </c>
      <c r="P15" s="31" t="s">
        <v>28</v>
      </c>
    </row>
    <row r="16" spans="2:16" ht="14.4" customHeight="1" x14ac:dyDescent="0.3">
      <c r="B16" s="123" t="s">
        <v>57</v>
      </c>
      <c r="C16" s="124"/>
      <c r="D16" s="124"/>
      <c r="E16" s="124"/>
      <c r="F16" s="124"/>
      <c r="G16" s="124"/>
      <c r="H16" s="124"/>
      <c r="I16" s="124"/>
      <c r="J16" s="124"/>
      <c r="K16" s="124"/>
      <c r="L16" s="124"/>
      <c r="M16" s="124"/>
      <c r="N16" s="124"/>
      <c r="O16" s="124"/>
      <c r="P16" s="124"/>
    </row>
    <row r="17" spans="2:17" ht="14.4" customHeight="1" x14ac:dyDescent="0.3">
      <c r="B17" s="4"/>
      <c r="C17" s="60" t="s">
        <v>58</v>
      </c>
      <c r="D17" s="29">
        <f>VPTA!I3</f>
        <v>99769</v>
      </c>
      <c r="E17" s="29">
        <f>$D$17</f>
        <v>99769</v>
      </c>
      <c r="F17" s="29">
        <f t="shared" ref="F17:O17" si="0">$D$17</f>
        <v>99769</v>
      </c>
      <c r="G17" s="29">
        <f t="shared" si="0"/>
        <v>99769</v>
      </c>
      <c r="H17" s="29">
        <f t="shared" si="0"/>
        <v>99769</v>
      </c>
      <c r="I17" s="29">
        <f t="shared" si="0"/>
        <v>99769</v>
      </c>
      <c r="J17" s="29">
        <f t="shared" si="0"/>
        <v>99769</v>
      </c>
      <c r="K17" s="29">
        <f t="shared" si="0"/>
        <v>99769</v>
      </c>
      <c r="L17" s="29">
        <f t="shared" si="0"/>
        <v>99769</v>
      </c>
      <c r="M17" s="29">
        <f t="shared" si="0"/>
        <v>99769</v>
      </c>
      <c r="N17" s="29">
        <f t="shared" si="0"/>
        <v>99769</v>
      </c>
      <c r="O17" s="29">
        <f t="shared" si="0"/>
        <v>99769</v>
      </c>
      <c r="P17" s="29">
        <f>SUM(D17:O17)</f>
        <v>1197228</v>
      </c>
    </row>
    <row r="18" spans="2:17" ht="14.4" customHeight="1" x14ac:dyDescent="0.3">
      <c r="B18" s="4"/>
      <c r="C18" s="60" t="s">
        <v>96</v>
      </c>
      <c r="D18" s="66"/>
      <c r="E18" s="30"/>
      <c r="F18" s="30"/>
      <c r="G18" s="30"/>
      <c r="H18" s="30"/>
      <c r="I18" s="30"/>
      <c r="J18" s="30"/>
      <c r="K18" s="30"/>
      <c r="L18" s="30"/>
      <c r="M18" s="30"/>
      <c r="N18" s="30"/>
      <c r="O18" s="30"/>
      <c r="P18" s="29">
        <f>SUM(D18:O18)</f>
        <v>0</v>
      </c>
    </row>
    <row r="19" spans="2:17" x14ac:dyDescent="0.3">
      <c r="B19" s="132" t="s">
        <v>97</v>
      </c>
      <c r="C19" s="132"/>
      <c r="D19" s="67">
        <f>SUM(D15:D18)</f>
        <v>99769</v>
      </c>
      <c r="E19" s="67">
        <f t="shared" ref="E19:P19" si="1">SUM(E15:E18)</f>
        <v>99769</v>
      </c>
      <c r="F19" s="67">
        <f t="shared" si="1"/>
        <v>99769</v>
      </c>
      <c r="G19" s="67">
        <f t="shared" si="1"/>
        <v>99769</v>
      </c>
      <c r="H19" s="67">
        <f t="shared" si="1"/>
        <v>99769</v>
      </c>
      <c r="I19" s="67">
        <f t="shared" si="1"/>
        <v>99769</v>
      </c>
      <c r="J19" s="67">
        <f t="shared" si="1"/>
        <v>99769</v>
      </c>
      <c r="K19" s="67">
        <f t="shared" si="1"/>
        <v>99769</v>
      </c>
      <c r="L19" s="67">
        <f t="shared" si="1"/>
        <v>99769</v>
      </c>
      <c r="M19" s="67">
        <f t="shared" si="1"/>
        <v>99769</v>
      </c>
      <c r="N19" s="67">
        <f t="shared" si="1"/>
        <v>99769</v>
      </c>
      <c r="O19" s="67">
        <f t="shared" si="1"/>
        <v>99769</v>
      </c>
      <c r="P19" s="67">
        <f t="shared" si="1"/>
        <v>1197228</v>
      </c>
    </row>
    <row r="21" spans="2:17" ht="14.4" customHeight="1" x14ac:dyDescent="0.3">
      <c r="B21" s="125" t="s">
        <v>59</v>
      </c>
      <c r="C21" s="126"/>
      <c r="D21" s="127"/>
      <c r="E21" s="128"/>
      <c r="F21" s="128"/>
      <c r="G21" s="128"/>
      <c r="H21" s="128"/>
      <c r="I21" s="128"/>
      <c r="J21" s="128"/>
      <c r="K21" s="128"/>
      <c r="L21" s="128"/>
      <c r="M21" s="128"/>
      <c r="N21" s="128"/>
      <c r="O21" s="128"/>
      <c r="P21" s="129"/>
    </row>
    <row r="22" spans="2:17" ht="14.4" customHeight="1" x14ac:dyDescent="0.3">
      <c r="B22" s="26" t="s">
        <v>60</v>
      </c>
      <c r="C22" s="26" t="s">
        <v>61</v>
      </c>
      <c r="D22" s="127"/>
      <c r="E22" s="128"/>
      <c r="F22" s="128"/>
      <c r="G22" s="128"/>
      <c r="H22" s="128"/>
      <c r="I22" s="128"/>
      <c r="J22" s="128"/>
      <c r="K22" s="128"/>
      <c r="L22" s="128"/>
      <c r="M22" s="128"/>
      <c r="N22" s="128"/>
      <c r="O22" s="128"/>
      <c r="P22" s="129"/>
    </row>
    <row r="23" spans="2:17" x14ac:dyDescent="0.3">
      <c r="B23" s="27" t="s">
        <v>62</v>
      </c>
      <c r="C23" s="27" t="s">
        <v>63</v>
      </c>
      <c r="D23" s="34">
        <f>VPTA!D23</f>
        <v>48864.17</v>
      </c>
      <c r="E23" s="34">
        <f>$D$23</f>
        <v>48864.17</v>
      </c>
      <c r="F23" s="34">
        <f t="shared" ref="F23:O23" si="2">$D$23</f>
        <v>48864.17</v>
      </c>
      <c r="G23" s="34">
        <f t="shared" si="2"/>
        <v>48864.17</v>
      </c>
      <c r="H23" s="34">
        <f t="shared" si="2"/>
        <v>48864.17</v>
      </c>
      <c r="I23" s="34">
        <f t="shared" si="2"/>
        <v>48864.17</v>
      </c>
      <c r="J23" s="34">
        <f t="shared" si="2"/>
        <v>48864.17</v>
      </c>
      <c r="K23" s="34">
        <f t="shared" si="2"/>
        <v>48864.17</v>
      </c>
      <c r="L23" s="34">
        <f t="shared" si="2"/>
        <v>48864.17</v>
      </c>
      <c r="M23" s="34">
        <f t="shared" si="2"/>
        <v>48864.17</v>
      </c>
      <c r="N23" s="34">
        <f t="shared" si="2"/>
        <v>48864.17</v>
      </c>
      <c r="O23" s="34">
        <f t="shared" si="2"/>
        <v>48864.17</v>
      </c>
      <c r="P23" s="29">
        <f t="shared" ref="P23:P40" si="3">SUM(D23:O23)</f>
        <v>586370.03999999992</v>
      </c>
    </row>
    <row r="24" spans="2:17" x14ac:dyDescent="0.3">
      <c r="B24" s="28" t="s">
        <v>64</v>
      </c>
      <c r="C24" s="28" t="s">
        <v>12</v>
      </c>
      <c r="D24" s="33">
        <f>VPTA!K23</f>
        <v>3909.1336000000001</v>
      </c>
      <c r="E24" s="33">
        <f>$D$24</f>
        <v>3909.1336000000001</v>
      </c>
      <c r="F24" s="33">
        <f t="shared" ref="F24:O24" si="4">$D$24</f>
        <v>3909.1336000000001</v>
      </c>
      <c r="G24" s="33">
        <f t="shared" si="4"/>
        <v>3909.1336000000001</v>
      </c>
      <c r="H24" s="33">
        <f t="shared" si="4"/>
        <v>3909.1336000000001</v>
      </c>
      <c r="I24" s="33">
        <f t="shared" si="4"/>
        <v>3909.1336000000001</v>
      </c>
      <c r="J24" s="33">
        <f t="shared" si="4"/>
        <v>3909.1336000000001</v>
      </c>
      <c r="K24" s="33">
        <f t="shared" si="4"/>
        <v>3909.1336000000001</v>
      </c>
      <c r="L24" s="33">
        <f t="shared" si="4"/>
        <v>3909.1336000000001</v>
      </c>
      <c r="M24" s="33">
        <f t="shared" si="4"/>
        <v>3909.1336000000001</v>
      </c>
      <c r="N24" s="33">
        <f t="shared" si="4"/>
        <v>3909.1336000000001</v>
      </c>
      <c r="O24" s="33">
        <f t="shared" si="4"/>
        <v>3909.1336000000001</v>
      </c>
      <c r="P24" s="29">
        <f t="shared" si="3"/>
        <v>46909.603200000005</v>
      </c>
    </row>
    <row r="25" spans="2:17" x14ac:dyDescent="0.3">
      <c r="B25" s="28" t="s">
        <v>65</v>
      </c>
      <c r="C25" s="28" t="s">
        <v>66</v>
      </c>
      <c r="D25" s="32">
        <f>VPTA!H23+VPTA!I23</f>
        <v>11971.721650000001</v>
      </c>
      <c r="E25" s="32">
        <f>$D$25</f>
        <v>11971.721650000001</v>
      </c>
      <c r="F25" s="32">
        <f t="shared" ref="F25:O25" si="5">$D$25</f>
        <v>11971.721650000001</v>
      </c>
      <c r="G25" s="32">
        <f t="shared" si="5"/>
        <v>11971.721650000001</v>
      </c>
      <c r="H25" s="32">
        <f t="shared" si="5"/>
        <v>11971.721650000001</v>
      </c>
      <c r="I25" s="32">
        <f t="shared" si="5"/>
        <v>11971.721650000001</v>
      </c>
      <c r="J25" s="32">
        <f t="shared" si="5"/>
        <v>11971.721650000001</v>
      </c>
      <c r="K25" s="32">
        <f t="shared" si="5"/>
        <v>11971.721650000001</v>
      </c>
      <c r="L25" s="32">
        <f t="shared" si="5"/>
        <v>11971.721650000001</v>
      </c>
      <c r="M25" s="32">
        <f t="shared" si="5"/>
        <v>11971.721650000001</v>
      </c>
      <c r="N25" s="32">
        <f t="shared" si="5"/>
        <v>11971.721650000001</v>
      </c>
      <c r="O25" s="32">
        <f t="shared" si="5"/>
        <v>11971.721650000001</v>
      </c>
      <c r="P25" s="29">
        <f t="shared" si="3"/>
        <v>143660.65980000002</v>
      </c>
    </row>
    <row r="26" spans="2:17" x14ac:dyDescent="0.3">
      <c r="B26" s="28" t="s">
        <v>67</v>
      </c>
      <c r="C26" s="28" t="s">
        <v>23</v>
      </c>
      <c r="D26" s="32">
        <f>VPTA!O34</f>
        <v>583.6553638888887</v>
      </c>
      <c r="E26" s="32">
        <f>$D$26</f>
        <v>583.6553638888887</v>
      </c>
      <c r="F26" s="32">
        <f t="shared" ref="F26:O26" si="6">$D$26</f>
        <v>583.6553638888887</v>
      </c>
      <c r="G26" s="32">
        <f t="shared" si="6"/>
        <v>583.6553638888887</v>
      </c>
      <c r="H26" s="32">
        <f t="shared" si="6"/>
        <v>583.6553638888887</v>
      </c>
      <c r="I26" s="32">
        <f t="shared" si="6"/>
        <v>583.6553638888887</v>
      </c>
      <c r="J26" s="32">
        <f t="shared" si="6"/>
        <v>583.6553638888887</v>
      </c>
      <c r="K26" s="32">
        <f t="shared" si="6"/>
        <v>583.6553638888887</v>
      </c>
      <c r="L26" s="32">
        <f t="shared" si="6"/>
        <v>583.6553638888887</v>
      </c>
      <c r="M26" s="32">
        <f t="shared" si="6"/>
        <v>583.6553638888887</v>
      </c>
      <c r="N26" s="32">
        <f t="shared" si="6"/>
        <v>583.6553638888887</v>
      </c>
      <c r="O26" s="32">
        <f t="shared" si="6"/>
        <v>583.6553638888887</v>
      </c>
      <c r="P26" s="29">
        <f t="shared" si="3"/>
        <v>7003.8643666666658</v>
      </c>
    </row>
    <row r="27" spans="2:17" x14ac:dyDescent="0.3">
      <c r="B27" s="28" t="s">
        <v>68</v>
      </c>
      <c r="C27" s="28" t="s">
        <v>69</v>
      </c>
      <c r="D27" s="32">
        <f>VPTA!L34+VPTA!M34+VPTA!N34</f>
        <v>15718.729350000001</v>
      </c>
      <c r="E27" s="32">
        <f>$D$27</f>
        <v>15718.729350000001</v>
      </c>
      <c r="F27" s="32">
        <f t="shared" ref="F27:O27" si="7">$D$27</f>
        <v>15718.729350000001</v>
      </c>
      <c r="G27" s="32">
        <f t="shared" si="7"/>
        <v>15718.729350000001</v>
      </c>
      <c r="H27" s="32">
        <f t="shared" si="7"/>
        <v>15718.729350000001</v>
      </c>
      <c r="I27" s="32">
        <f t="shared" si="7"/>
        <v>15718.729350000001</v>
      </c>
      <c r="J27" s="32">
        <f t="shared" si="7"/>
        <v>15718.729350000001</v>
      </c>
      <c r="K27" s="32">
        <f t="shared" si="7"/>
        <v>15718.729350000001</v>
      </c>
      <c r="L27" s="32">
        <f t="shared" si="7"/>
        <v>15718.729350000001</v>
      </c>
      <c r="M27" s="32">
        <f t="shared" si="7"/>
        <v>15718.729350000001</v>
      </c>
      <c r="N27" s="32">
        <f t="shared" si="7"/>
        <v>15718.729350000001</v>
      </c>
      <c r="O27" s="32">
        <f t="shared" si="7"/>
        <v>15718.729350000001</v>
      </c>
      <c r="P27" s="29">
        <f t="shared" si="3"/>
        <v>188624.75220000008</v>
      </c>
    </row>
    <row r="28" spans="2:17" ht="13.95" customHeight="1" x14ac:dyDescent="0.3">
      <c r="B28" s="28" t="s">
        <v>70</v>
      </c>
      <c r="C28" s="28" t="s">
        <v>71</v>
      </c>
      <c r="D28" s="32">
        <f>SUM(VPTA!$F$23+VPTA!$J$23+VPTA!$L$23+VPTA!$M$23+VPTA!$N$23+VPTA!$O$23+VPTA!$P$23+VPTA!$I$34+VPTA!$J$34+VPTA!$K$34)</f>
        <v>16214.760411666666</v>
      </c>
      <c r="E28" s="32">
        <f>$D$28</f>
        <v>16214.760411666666</v>
      </c>
      <c r="F28" s="32">
        <f t="shared" ref="F28:O28" si="8">$D$28</f>
        <v>16214.760411666666</v>
      </c>
      <c r="G28" s="32">
        <f t="shared" si="8"/>
        <v>16214.760411666666</v>
      </c>
      <c r="H28" s="32">
        <f t="shared" si="8"/>
        <v>16214.760411666666</v>
      </c>
      <c r="I28" s="32">
        <f t="shared" si="8"/>
        <v>16214.760411666666</v>
      </c>
      <c r="J28" s="32">
        <f t="shared" si="8"/>
        <v>16214.760411666666</v>
      </c>
      <c r="K28" s="32">
        <f t="shared" si="8"/>
        <v>16214.760411666666</v>
      </c>
      <c r="L28" s="32">
        <f t="shared" si="8"/>
        <v>16214.760411666666</v>
      </c>
      <c r="M28" s="32">
        <f t="shared" si="8"/>
        <v>16214.760411666666</v>
      </c>
      <c r="N28" s="32">
        <f t="shared" si="8"/>
        <v>16214.760411666666</v>
      </c>
      <c r="O28" s="32">
        <f t="shared" si="8"/>
        <v>16214.760411666666</v>
      </c>
      <c r="P28" s="29">
        <f t="shared" ref="P28" si="9">SUM(D28:O28)</f>
        <v>194577.12494000001</v>
      </c>
      <c r="Q28" s="39"/>
    </row>
    <row r="29" spans="2:17" x14ac:dyDescent="0.3">
      <c r="B29" s="125" t="s">
        <v>72</v>
      </c>
      <c r="C29" s="126"/>
      <c r="D29" s="127"/>
      <c r="E29" s="128"/>
      <c r="F29" s="128"/>
      <c r="G29" s="128"/>
      <c r="H29" s="128"/>
      <c r="I29" s="128"/>
      <c r="J29" s="128"/>
      <c r="K29" s="128"/>
      <c r="L29" s="128"/>
      <c r="M29" s="128"/>
      <c r="N29" s="128"/>
      <c r="O29" s="128"/>
      <c r="P29" s="129"/>
    </row>
    <row r="30" spans="2:17" x14ac:dyDescent="0.3">
      <c r="B30" s="26" t="s">
        <v>73</v>
      </c>
      <c r="C30" s="26" t="s">
        <v>74</v>
      </c>
      <c r="D30" s="118"/>
      <c r="E30" s="119"/>
      <c r="F30" s="119"/>
      <c r="G30" s="119"/>
      <c r="H30" s="119"/>
      <c r="I30" s="119"/>
      <c r="J30" s="119"/>
      <c r="K30" s="119"/>
      <c r="L30" s="119"/>
      <c r="M30" s="119"/>
      <c r="N30" s="119"/>
      <c r="O30" s="119"/>
      <c r="P30" s="120"/>
    </row>
    <row r="31" spans="2:17" x14ac:dyDescent="0.3">
      <c r="B31" s="27" t="s">
        <v>75</v>
      </c>
      <c r="C31" s="27" t="s">
        <v>115</v>
      </c>
      <c r="D31" s="55">
        <v>1000</v>
      </c>
      <c r="E31" s="29">
        <f t="shared" ref="E31:O31" si="10">$D$31</f>
        <v>1000</v>
      </c>
      <c r="F31" s="29">
        <f t="shared" si="10"/>
        <v>1000</v>
      </c>
      <c r="G31" s="29">
        <f t="shared" si="10"/>
        <v>1000</v>
      </c>
      <c r="H31" s="29">
        <f t="shared" si="10"/>
        <v>1000</v>
      </c>
      <c r="I31" s="29">
        <f t="shared" si="10"/>
        <v>1000</v>
      </c>
      <c r="J31" s="29">
        <f t="shared" si="10"/>
        <v>1000</v>
      </c>
      <c r="K31" s="29">
        <f t="shared" si="10"/>
        <v>1000</v>
      </c>
      <c r="L31" s="29">
        <f t="shared" si="10"/>
        <v>1000</v>
      </c>
      <c r="M31" s="29">
        <f t="shared" si="10"/>
        <v>1000</v>
      </c>
      <c r="N31" s="29">
        <f t="shared" si="10"/>
        <v>1000</v>
      </c>
      <c r="O31" s="29">
        <f t="shared" si="10"/>
        <v>1000</v>
      </c>
      <c r="P31" s="29">
        <f>SUM(D31:O31)</f>
        <v>12000</v>
      </c>
    </row>
    <row r="32" spans="2:17" x14ac:dyDescent="0.3">
      <c r="B32" s="27" t="s">
        <v>76</v>
      </c>
      <c r="C32" s="27" t="s">
        <v>116</v>
      </c>
      <c r="D32" s="55">
        <v>1000</v>
      </c>
      <c r="E32" s="29">
        <f>$D$32</f>
        <v>1000</v>
      </c>
      <c r="F32" s="29">
        <f t="shared" ref="F32:O32" si="11">$D$32</f>
        <v>1000</v>
      </c>
      <c r="G32" s="29">
        <f t="shared" si="11"/>
        <v>1000</v>
      </c>
      <c r="H32" s="29">
        <f t="shared" si="11"/>
        <v>1000</v>
      </c>
      <c r="I32" s="29">
        <f t="shared" si="11"/>
        <v>1000</v>
      </c>
      <c r="J32" s="29">
        <f t="shared" si="11"/>
        <v>1000</v>
      </c>
      <c r="K32" s="29">
        <f t="shared" si="11"/>
        <v>1000</v>
      </c>
      <c r="L32" s="29">
        <f t="shared" si="11"/>
        <v>1000</v>
      </c>
      <c r="M32" s="29">
        <f t="shared" si="11"/>
        <v>1000</v>
      </c>
      <c r="N32" s="29">
        <f t="shared" si="11"/>
        <v>1000</v>
      </c>
      <c r="O32" s="29">
        <f t="shared" si="11"/>
        <v>1000</v>
      </c>
      <c r="P32" s="29">
        <f t="shared" ref="P32:P34" si="12">SUM(D32:O32)</f>
        <v>12000</v>
      </c>
    </row>
    <row r="33" spans="2:16" x14ac:dyDescent="0.3">
      <c r="B33" s="27" t="s">
        <v>117</v>
      </c>
      <c r="C33" s="27" t="s">
        <v>118</v>
      </c>
      <c r="D33" s="55">
        <v>2000</v>
      </c>
      <c r="E33" s="29">
        <f>$D$33</f>
        <v>2000</v>
      </c>
      <c r="F33" s="29">
        <f t="shared" ref="F33:O33" si="13">$D$33</f>
        <v>2000</v>
      </c>
      <c r="G33" s="29">
        <f t="shared" si="13"/>
        <v>2000</v>
      </c>
      <c r="H33" s="29">
        <f t="shared" si="13"/>
        <v>2000</v>
      </c>
      <c r="I33" s="29">
        <f t="shared" si="13"/>
        <v>2000</v>
      </c>
      <c r="J33" s="29">
        <f t="shared" si="13"/>
        <v>2000</v>
      </c>
      <c r="K33" s="29">
        <f t="shared" si="13"/>
        <v>2000</v>
      </c>
      <c r="L33" s="29">
        <f t="shared" si="13"/>
        <v>2000</v>
      </c>
      <c r="M33" s="29">
        <f t="shared" si="13"/>
        <v>2000</v>
      </c>
      <c r="N33" s="29">
        <f t="shared" si="13"/>
        <v>2000</v>
      </c>
      <c r="O33" s="29">
        <f t="shared" si="13"/>
        <v>2000</v>
      </c>
      <c r="P33" s="29">
        <f t="shared" si="12"/>
        <v>24000</v>
      </c>
    </row>
    <row r="34" spans="2:16" x14ac:dyDescent="0.3">
      <c r="B34" s="27" t="s">
        <v>119</v>
      </c>
      <c r="C34" s="27" t="s">
        <v>120</v>
      </c>
      <c r="D34" s="55">
        <v>3000</v>
      </c>
      <c r="E34" s="29">
        <f>$D$34</f>
        <v>3000</v>
      </c>
      <c r="F34" s="29">
        <f t="shared" ref="F34:O34" si="14">$D$34</f>
        <v>3000</v>
      </c>
      <c r="G34" s="29">
        <f t="shared" si="14"/>
        <v>3000</v>
      </c>
      <c r="H34" s="29">
        <f t="shared" si="14"/>
        <v>3000</v>
      </c>
      <c r="I34" s="29">
        <f t="shared" si="14"/>
        <v>3000</v>
      </c>
      <c r="J34" s="29">
        <f t="shared" si="14"/>
        <v>3000</v>
      </c>
      <c r="K34" s="29">
        <f t="shared" si="14"/>
        <v>3000</v>
      </c>
      <c r="L34" s="29">
        <f t="shared" si="14"/>
        <v>3000</v>
      </c>
      <c r="M34" s="29">
        <f t="shared" si="14"/>
        <v>3000</v>
      </c>
      <c r="N34" s="29">
        <f t="shared" si="14"/>
        <v>3000</v>
      </c>
      <c r="O34" s="29">
        <f t="shared" si="14"/>
        <v>3000</v>
      </c>
      <c r="P34" s="29">
        <f t="shared" si="12"/>
        <v>36000</v>
      </c>
    </row>
    <row r="35" spans="2:16" x14ac:dyDescent="0.3">
      <c r="B35" s="26" t="s">
        <v>77</v>
      </c>
      <c r="C35" s="26" t="s">
        <v>78</v>
      </c>
      <c r="D35" s="133"/>
      <c r="E35" s="134"/>
      <c r="F35" s="134"/>
      <c r="G35" s="134"/>
      <c r="H35" s="134"/>
      <c r="I35" s="134"/>
      <c r="J35" s="134"/>
      <c r="K35" s="134"/>
      <c r="L35" s="134"/>
      <c r="M35" s="134"/>
      <c r="N35" s="134"/>
      <c r="O35" s="134"/>
      <c r="P35" s="135"/>
    </row>
    <row r="36" spans="2:16" x14ac:dyDescent="0.3">
      <c r="B36" s="27" t="s">
        <v>102</v>
      </c>
      <c r="C36" s="74" t="s">
        <v>103</v>
      </c>
      <c r="D36" s="29">
        <v>3500</v>
      </c>
      <c r="E36" s="29">
        <f>$D$36</f>
        <v>3500</v>
      </c>
      <c r="F36" s="29">
        <f t="shared" ref="F36:O36" si="15">$D$36</f>
        <v>3500</v>
      </c>
      <c r="G36" s="29">
        <f t="shared" si="15"/>
        <v>3500</v>
      </c>
      <c r="H36" s="29">
        <f t="shared" si="15"/>
        <v>3500</v>
      </c>
      <c r="I36" s="29">
        <f t="shared" si="15"/>
        <v>3500</v>
      </c>
      <c r="J36" s="29">
        <f t="shared" si="15"/>
        <v>3500</v>
      </c>
      <c r="K36" s="29">
        <f t="shared" si="15"/>
        <v>3500</v>
      </c>
      <c r="L36" s="29">
        <f t="shared" si="15"/>
        <v>3500</v>
      </c>
      <c r="M36" s="29">
        <f t="shared" si="15"/>
        <v>3500</v>
      </c>
      <c r="N36" s="29">
        <f t="shared" si="15"/>
        <v>3500</v>
      </c>
      <c r="O36" s="29">
        <f t="shared" si="15"/>
        <v>3500</v>
      </c>
      <c r="P36" s="29">
        <f t="shared" si="3"/>
        <v>42000</v>
      </c>
    </row>
    <row r="37" spans="2:16" x14ac:dyDescent="0.3">
      <c r="B37" s="27" t="s">
        <v>79</v>
      </c>
      <c r="C37" s="74" t="s">
        <v>121</v>
      </c>
      <c r="D37" s="29">
        <v>3000</v>
      </c>
      <c r="E37" s="29">
        <f>$D$37</f>
        <v>3000</v>
      </c>
      <c r="F37" s="29">
        <f t="shared" ref="F37:O37" si="16">$D$37</f>
        <v>3000</v>
      </c>
      <c r="G37" s="29">
        <f t="shared" si="16"/>
        <v>3000</v>
      </c>
      <c r="H37" s="29">
        <f t="shared" si="16"/>
        <v>3000</v>
      </c>
      <c r="I37" s="29">
        <f t="shared" si="16"/>
        <v>3000</v>
      </c>
      <c r="J37" s="29">
        <f t="shared" si="16"/>
        <v>3000</v>
      </c>
      <c r="K37" s="29">
        <f t="shared" si="16"/>
        <v>3000</v>
      </c>
      <c r="L37" s="29">
        <f t="shared" si="16"/>
        <v>3000</v>
      </c>
      <c r="M37" s="29">
        <f t="shared" si="16"/>
        <v>3000</v>
      </c>
      <c r="N37" s="29">
        <f t="shared" si="16"/>
        <v>3000</v>
      </c>
      <c r="O37" s="29">
        <f t="shared" si="16"/>
        <v>3000</v>
      </c>
      <c r="P37" s="29">
        <f t="shared" si="3"/>
        <v>36000</v>
      </c>
    </row>
    <row r="38" spans="2:16" x14ac:dyDescent="0.3">
      <c r="B38" s="27" t="s">
        <v>106</v>
      </c>
      <c r="C38" s="74" t="s">
        <v>122</v>
      </c>
      <c r="D38" s="29">
        <v>3500</v>
      </c>
      <c r="E38" s="29">
        <f>$D$38</f>
        <v>3500</v>
      </c>
      <c r="F38" s="29">
        <f t="shared" ref="F38:O38" si="17">$D$38</f>
        <v>3500</v>
      </c>
      <c r="G38" s="29">
        <f t="shared" si="17"/>
        <v>3500</v>
      </c>
      <c r="H38" s="29">
        <f t="shared" si="17"/>
        <v>3500</v>
      </c>
      <c r="I38" s="29">
        <f t="shared" si="17"/>
        <v>3500</v>
      </c>
      <c r="J38" s="29">
        <f t="shared" si="17"/>
        <v>3500</v>
      </c>
      <c r="K38" s="29">
        <f t="shared" si="17"/>
        <v>3500</v>
      </c>
      <c r="L38" s="29">
        <f t="shared" si="17"/>
        <v>3500</v>
      </c>
      <c r="M38" s="29">
        <f t="shared" si="17"/>
        <v>3500</v>
      </c>
      <c r="N38" s="29">
        <f t="shared" si="17"/>
        <v>3500</v>
      </c>
      <c r="O38" s="29">
        <f t="shared" si="17"/>
        <v>3500</v>
      </c>
      <c r="P38" s="29">
        <f t="shared" si="3"/>
        <v>42000</v>
      </c>
    </row>
    <row r="39" spans="2:16" x14ac:dyDescent="0.3">
      <c r="B39" s="27" t="s">
        <v>80</v>
      </c>
      <c r="C39" s="74" t="s">
        <v>123</v>
      </c>
      <c r="D39" s="29">
        <v>3000</v>
      </c>
      <c r="E39" s="29">
        <f>$D$39</f>
        <v>3000</v>
      </c>
      <c r="F39" s="29">
        <f t="shared" ref="F39:O39" si="18">$D$39</f>
        <v>3000</v>
      </c>
      <c r="G39" s="29">
        <f t="shared" si="18"/>
        <v>3000</v>
      </c>
      <c r="H39" s="29">
        <f t="shared" si="18"/>
        <v>3000</v>
      </c>
      <c r="I39" s="29">
        <f t="shared" si="18"/>
        <v>3000</v>
      </c>
      <c r="J39" s="29">
        <f t="shared" si="18"/>
        <v>3000</v>
      </c>
      <c r="K39" s="29">
        <f t="shared" si="18"/>
        <v>3000</v>
      </c>
      <c r="L39" s="29">
        <f t="shared" si="18"/>
        <v>3000</v>
      </c>
      <c r="M39" s="29">
        <f t="shared" si="18"/>
        <v>3000</v>
      </c>
      <c r="N39" s="29">
        <f t="shared" si="18"/>
        <v>3000</v>
      </c>
      <c r="O39" s="29">
        <f t="shared" si="18"/>
        <v>3000</v>
      </c>
      <c r="P39" s="29">
        <f t="shared" si="3"/>
        <v>36000</v>
      </c>
    </row>
    <row r="40" spans="2:16" x14ac:dyDescent="0.3">
      <c r="B40" s="27" t="s">
        <v>104</v>
      </c>
      <c r="C40" s="27" t="s">
        <v>90</v>
      </c>
      <c r="D40" s="55">
        <v>1000</v>
      </c>
      <c r="E40" s="29">
        <f>$D$40</f>
        <v>1000</v>
      </c>
      <c r="F40" s="29">
        <f t="shared" ref="F40:O40" si="19">$D$40</f>
        <v>1000</v>
      </c>
      <c r="G40" s="29">
        <f t="shared" si="19"/>
        <v>1000</v>
      </c>
      <c r="H40" s="29">
        <f t="shared" si="19"/>
        <v>1000</v>
      </c>
      <c r="I40" s="29">
        <f t="shared" si="19"/>
        <v>1000</v>
      </c>
      <c r="J40" s="29">
        <f t="shared" si="19"/>
        <v>1000</v>
      </c>
      <c r="K40" s="29">
        <f t="shared" si="19"/>
        <v>1000</v>
      </c>
      <c r="L40" s="29">
        <f t="shared" si="19"/>
        <v>1000</v>
      </c>
      <c r="M40" s="29">
        <f t="shared" si="19"/>
        <v>1000</v>
      </c>
      <c r="N40" s="29">
        <f t="shared" si="19"/>
        <v>1000</v>
      </c>
      <c r="O40" s="29">
        <f t="shared" si="19"/>
        <v>1000</v>
      </c>
      <c r="P40" s="29">
        <f t="shared" si="3"/>
        <v>12000</v>
      </c>
    </row>
    <row r="41" spans="2:16" x14ac:dyDescent="0.3">
      <c r="B41" s="26" t="s">
        <v>81</v>
      </c>
      <c r="C41" s="26" t="s">
        <v>82</v>
      </c>
      <c r="D41" s="59"/>
      <c r="E41" s="59"/>
      <c r="F41" s="59"/>
      <c r="G41" s="59"/>
      <c r="H41" s="59"/>
      <c r="I41" s="59"/>
      <c r="J41" s="59"/>
      <c r="K41" s="59"/>
      <c r="L41" s="59"/>
      <c r="M41" s="59"/>
      <c r="N41" s="59"/>
      <c r="O41" s="59"/>
      <c r="P41" s="59"/>
    </row>
    <row r="42" spans="2:16" ht="14.4" customHeight="1" x14ac:dyDescent="0.3">
      <c r="B42" s="149" t="s">
        <v>83</v>
      </c>
      <c r="C42" s="149" t="s">
        <v>124</v>
      </c>
      <c r="D42" s="147">
        <v>2471.36</v>
      </c>
      <c r="E42" s="147">
        <f>$D$42</f>
        <v>2471.36</v>
      </c>
      <c r="F42" s="147">
        <f t="shared" ref="F42:O42" si="20">$D$42</f>
        <v>2471.36</v>
      </c>
      <c r="G42" s="147">
        <f t="shared" si="20"/>
        <v>2471.36</v>
      </c>
      <c r="H42" s="147">
        <f t="shared" si="20"/>
        <v>2471.36</v>
      </c>
      <c r="I42" s="147">
        <f t="shared" si="20"/>
        <v>2471.36</v>
      </c>
      <c r="J42" s="147">
        <f t="shared" si="20"/>
        <v>2471.36</v>
      </c>
      <c r="K42" s="147">
        <f t="shared" si="20"/>
        <v>2471.36</v>
      </c>
      <c r="L42" s="147">
        <f t="shared" si="20"/>
        <v>2471.36</v>
      </c>
      <c r="M42" s="147">
        <f t="shared" si="20"/>
        <v>2471.36</v>
      </c>
      <c r="N42" s="147">
        <f t="shared" si="20"/>
        <v>2471.36</v>
      </c>
      <c r="O42" s="147">
        <f t="shared" si="20"/>
        <v>2471.36</v>
      </c>
      <c r="P42" s="147">
        <f>SUM(D42:O52)</f>
        <v>29656.320000000003</v>
      </c>
    </row>
    <row r="43" spans="2:16" x14ac:dyDescent="0.3">
      <c r="B43" s="150"/>
      <c r="C43" s="150"/>
      <c r="D43" s="148"/>
      <c r="E43" s="148"/>
      <c r="F43" s="148"/>
      <c r="G43" s="148"/>
      <c r="H43" s="148"/>
      <c r="I43" s="148"/>
      <c r="J43" s="148"/>
      <c r="K43" s="148"/>
      <c r="L43" s="148"/>
      <c r="M43" s="148"/>
      <c r="N43" s="148"/>
      <c r="O43" s="148"/>
      <c r="P43" s="148"/>
    </row>
    <row r="44" spans="2:16" x14ac:dyDescent="0.3">
      <c r="B44" s="150"/>
      <c r="C44" s="150"/>
      <c r="D44" s="148"/>
      <c r="E44" s="148"/>
      <c r="F44" s="148"/>
      <c r="G44" s="148"/>
      <c r="H44" s="148"/>
      <c r="I44" s="148"/>
      <c r="J44" s="148"/>
      <c r="K44" s="148"/>
      <c r="L44" s="148"/>
      <c r="M44" s="148"/>
      <c r="N44" s="148"/>
      <c r="O44" s="148"/>
      <c r="P44" s="148"/>
    </row>
    <row r="45" spans="2:16" x14ac:dyDescent="0.3">
      <c r="B45" s="150"/>
      <c r="C45" s="150"/>
      <c r="D45" s="148"/>
      <c r="E45" s="148"/>
      <c r="F45" s="148"/>
      <c r="G45" s="148"/>
      <c r="H45" s="148"/>
      <c r="I45" s="148"/>
      <c r="J45" s="148"/>
      <c r="K45" s="148"/>
      <c r="L45" s="148"/>
      <c r="M45" s="148"/>
      <c r="N45" s="148"/>
      <c r="O45" s="148"/>
      <c r="P45" s="148"/>
    </row>
    <row r="46" spans="2:16" x14ac:dyDescent="0.3">
      <c r="B46" s="150"/>
      <c r="C46" s="150"/>
      <c r="D46" s="148"/>
      <c r="E46" s="148"/>
      <c r="F46" s="148"/>
      <c r="G46" s="148"/>
      <c r="H46" s="148"/>
      <c r="I46" s="148"/>
      <c r="J46" s="148"/>
      <c r="K46" s="148"/>
      <c r="L46" s="148"/>
      <c r="M46" s="148"/>
      <c r="N46" s="148"/>
      <c r="O46" s="148"/>
      <c r="P46" s="148"/>
    </row>
    <row r="47" spans="2:16" x14ac:dyDescent="0.3">
      <c r="B47" s="150"/>
      <c r="C47" s="150"/>
      <c r="D47" s="148"/>
      <c r="E47" s="148"/>
      <c r="F47" s="148"/>
      <c r="G47" s="148"/>
      <c r="H47" s="148"/>
      <c r="I47" s="148"/>
      <c r="J47" s="148"/>
      <c r="K47" s="148"/>
      <c r="L47" s="148"/>
      <c r="M47" s="148"/>
      <c r="N47" s="148"/>
      <c r="O47" s="148"/>
      <c r="P47" s="148"/>
    </row>
    <row r="48" spans="2:16" x14ac:dyDescent="0.3">
      <c r="B48" s="150"/>
      <c r="C48" s="150"/>
      <c r="D48" s="148"/>
      <c r="E48" s="148"/>
      <c r="F48" s="148"/>
      <c r="G48" s="148"/>
      <c r="H48" s="148"/>
      <c r="I48" s="148"/>
      <c r="J48" s="148"/>
      <c r="K48" s="148"/>
      <c r="L48" s="148"/>
      <c r="M48" s="148"/>
      <c r="N48" s="148"/>
      <c r="O48" s="148"/>
      <c r="P48" s="148"/>
    </row>
    <row r="49" spans="2:17" x14ac:dyDescent="0.3">
      <c r="B49" s="150"/>
      <c r="C49" s="150"/>
      <c r="D49" s="148"/>
      <c r="E49" s="148"/>
      <c r="F49" s="148"/>
      <c r="G49" s="148"/>
      <c r="H49" s="148"/>
      <c r="I49" s="148"/>
      <c r="J49" s="148"/>
      <c r="K49" s="148"/>
      <c r="L49" s="148"/>
      <c r="M49" s="148"/>
      <c r="N49" s="148"/>
      <c r="O49" s="148"/>
      <c r="P49" s="148"/>
    </row>
    <row r="50" spans="2:17" x14ac:dyDescent="0.3">
      <c r="B50" s="150"/>
      <c r="C50" s="150"/>
      <c r="D50" s="148"/>
      <c r="E50" s="148"/>
      <c r="F50" s="148"/>
      <c r="G50" s="148"/>
      <c r="H50" s="148"/>
      <c r="I50" s="148"/>
      <c r="J50" s="148"/>
      <c r="K50" s="148"/>
      <c r="L50" s="148"/>
      <c r="M50" s="148"/>
      <c r="N50" s="148"/>
      <c r="O50" s="148"/>
      <c r="P50" s="148"/>
    </row>
    <row r="51" spans="2:17" x14ac:dyDescent="0.3">
      <c r="B51" s="150"/>
      <c r="C51" s="150"/>
      <c r="D51" s="148"/>
      <c r="E51" s="148"/>
      <c r="F51" s="148"/>
      <c r="G51" s="148"/>
      <c r="H51" s="148"/>
      <c r="I51" s="148"/>
      <c r="J51" s="148"/>
      <c r="K51" s="148"/>
      <c r="L51" s="148"/>
      <c r="M51" s="148"/>
      <c r="N51" s="148"/>
      <c r="O51" s="148"/>
      <c r="P51" s="148"/>
    </row>
    <row r="52" spans="2:17" x14ac:dyDescent="0.3">
      <c r="B52" s="150"/>
      <c r="C52" s="150"/>
      <c r="D52" s="148"/>
      <c r="E52" s="148"/>
      <c r="F52" s="148"/>
      <c r="G52" s="148"/>
      <c r="H52" s="148"/>
      <c r="I52" s="148"/>
      <c r="J52" s="148"/>
      <c r="K52" s="148"/>
      <c r="L52" s="148"/>
      <c r="M52" s="148"/>
      <c r="N52" s="148"/>
      <c r="O52" s="148"/>
      <c r="P52" s="148"/>
    </row>
    <row r="53" spans="2:17" x14ac:dyDescent="0.3">
      <c r="B53" s="132" t="s">
        <v>84</v>
      </c>
      <c r="C53" s="132"/>
      <c r="D53" s="35">
        <f t="shared" ref="D53:O53" si="21">SUM(D23:D28)</f>
        <v>97262.17037555555</v>
      </c>
      <c r="E53" s="35">
        <f t="shared" si="21"/>
        <v>97262.17037555555</v>
      </c>
      <c r="F53" s="35">
        <f t="shared" si="21"/>
        <v>97262.17037555555</v>
      </c>
      <c r="G53" s="35">
        <f t="shared" si="21"/>
        <v>97262.17037555555</v>
      </c>
      <c r="H53" s="35">
        <f t="shared" si="21"/>
        <v>97262.17037555555</v>
      </c>
      <c r="I53" s="35">
        <f t="shared" si="21"/>
        <v>97262.17037555555</v>
      </c>
      <c r="J53" s="35">
        <f t="shared" si="21"/>
        <v>97262.17037555555</v>
      </c>
      <c r="K53" s="35">
        <f t="shared" si="21"/>
        <v>97262.17037555555</v>
      </c>
      <c r="L53" s="35">
        <f t="shared" si="21"/>
        <v>97262.17037555555</v>
      </c>
      <c r="M53" s="35">
        <f t="shared" si="21"/>
        <v>97262.17037555555</v>
      </c>
      <c r="N53" s="35">
        <f t="shared" si="21"/>
        <v>97262.17037555555</v>
      </c>
      <c r="O53" s="35">
        <f t="shared" si="21"/>
        <v>97262.17037555555</v>
      </c>
      <c r="P53" s="35">
        <f>SUM(D53:O53)</f>
        <v>1167146.0445066665</v>
      </c>
    </row>
    <row r="54" spans="2:17" x14ac:dyDescent="0.3">
      <c r="D54" s="30"/>
      <c r="E54" s="30"/>
      <c r="F54" s="30"/>
      <c r="G54" s="30"/>
      <c r="H54" s="30"/>
      <c r="I54" s="30"/>
      <c r="J54" s="30"/>
      <c r="K54" s="30"/>
      <c r="L54" s="30"/>
      <c r="M54" s="30"/>
      <c r="N54" s="30"/>
      <c r="O54" s="30"/>
    </row>
    <row r="55" spans="2:17" ht="14.4" customHeight="1" x14ac:dyDescent="0.3">
      <c r="B55" s="125" t="s">
        <v>85</v>
      </c>
      <c r="C55" s="126"/>
      <c r="D55" s="35">
        <f t="shared" ref="D55:P55" si="22">SUM(D31:D34,D36:D40,D42)</f>
        <v>23471.360000000001</v>
      </c>
      <c r="E55" s="35">
        <f t="shared" si="22"/>
        <v>23471.360000000001</v>
      </c>
      <c r="F55" s="35">
        <f t="shared" si="22"/>
        <v>23471.360000000001</v>
      </c>
      <c r="G55" s="35">
        <f t="shared" si="22"/>
        <v>23471.360000000001</v>
      </c>
      <c r="H55" s="35">
        <f t="shared" si="22"/>
        <v>23471.360000000001</v>
      </c>
      <c r="I55" s="35">
        <f t="shared" si="22"/>
        <v>23471.360000000001</v>
      </c>
      <c r="J55" s="35">
        <f t="shared" si="22"/>
        <v>23471.360000000001</v>
      </c>
      <c r="K55" s="35">
        <f t="shared" si="22"/>
        <v>23471.360000000001</v>
      </c>
      <c r="L55" s="35">
        <f t="shared" si="22"/>
        <v>23471.360000000001</v>
      </c>
      <c r="M55" s="35">
        <f t="shared" si="22"/>
        <v>23471.360000000001</v>
      </c>
      <c r="N55" s="35">
        <f t="shared" si="22"/>
        <v>23471.360000000001</v>
      </c>
      <c r="O55" s="35">
        <f t="shared" si="22"/>
        <v>23471.360000000001</v>
      </c>
      <c r="P55" s="35">
        <f t="shared" si="22"/>
        <v>281656.32000000001</v>
      </c>
    </row>
    <row r="57" spans="2:17" ht="14.4" customHeight="1" x14ac:dyDescent="0.3">
      <c r="B57" s="125" t="s">
        <v>86</v>
      </c>
      <c r="C57" s="126"/>
      <c r="D57" s="36">
        <f t="shared" ref="D57:O57" si="23">SUM(D53+D55)</f>
        <v>120733.53037555555</v>
      </c>
      <c r="E57" s="36">
        <f t="shared" si="23"/>
        <v>120733.53037555555</v>
      </c>
      <c r="F57" s="36">
        <f t="shared" si="23"/>
        <v>120733.53037555555</v>
      </c>
      <c r="G57" s="36">
        <f t="shared" si="23"/>
        <v>120733.53037555555</v>
      </c>
      <c r="H57" s="36">
        <f t="shared" si="23"/>
        <v>120733.53037555555</v>
      </c>
      <c r="I57" s="36">
        <f t="shared" si="23"/>
        <v>120733.53037555555</v>
      </c>
      <c r="J57" s="36">
        <f t="shared" si="23"/>
        <v>120733.53037555555</v>
      </c>
      <c r="K57" s="36">
        <f t="shared" si="23"/>
        <v>120733.53037555555</v>
      </c>
      <c r="L57" s="36">
        <f t="shared" si="23"/>
        <v>120733.53037555555</v>
      </c>
      <c r="M57" s="36">
        <f t="shared" si="23"/>
        <v>120733.53037555555</v>
      </c>
      <c r="N57" s="36">
        <f t="shared" si="23"/>
        <v>120733.53037555555</v>
      </c>
      <c r="O57" s="36">
        <f t="shared" si="23"/>
        <v>120733.53037555555</v>
      </c>
      <c r="P57" s="35">
        <f>SUM(D57:O57)</f>
        <v>1448802.3645066668</v>
      </c>
      <c r="Q57" s="37"/>
    </row>
    <row r="59" spans="2:17" x14ac:dyDescent="0.3">
      <c r="B59" s="125" t="s">
        <v>91</v>
      </c>
      <c r="C59" s="126"/>
      <c r="D59" s="36">
        <f t="shared" ref="D59:P59" si="24">D19-D57</f>
        <v>-20964.530375555551</v>
      </c>
      <c r="E59" s="36">
        <f t="shared" si="24"/>
        <v>-20964.530375555551</v>
      </c>
      <c r="F59" s="36">
        <f t="shared" si="24"/>
        <v>-20964.530375555551</v>
      </c>
      <c r="G59" s="36">
        <f t="shared" si="24"/>
        <v>-20964.530375555551</v>
      </c>
      <c r="H59" s="36">
        <f t="shared" si="24"/>
        <v>-20964.530375555551</v>
      </c>
      <c r="I59" s="36">
        <f t="shared" si="24"/>
        <v>-20964.530375555551</v>
      </c>
      <c r="J59" s="36">
        <f t="shared" si="24"/>
        <v>-20964.530375555551</v>
      </c>
      <c r="K59" s="36">
        <f t="shared" si="24"/>
        <v>-20964.530375555551</v>
      </c>
      <c r="L59" s="36">
        <f t="shared" si="24"/>
        <v>-20964.530375555551</v>
      </c>
      <c r="M59" s="36">
        <f t="shared" si="24"/>
        <v>-20964.530375555551</v>
      </c>
      <c r="N59" s="36">
        <f t="shared" si="24"/>
        <v>-20964.530375555551</v>
      </c>
      <c r="O59" s="36">
        <f t="shared" si="24"/>
        <v>-20964.530375555551</v>
      </c>
      <c r="P59" s="36">
        <f t="shared" si="24"/>
        <v>-251574.36450666678</v>
      </c>
    </row>
    <row r="61" spans="2:17" ht="14.4" customHeight="1" x14ac:dyDescent="0.3">
      <c r="B61" s="143" t="s">
        <v>87</v>
      </c>
      <c r="C61" s="144"/>
      <c r="D61" s="136"/>
      <c r="E61" s="137"/>
      <c r="F61" s="137"/>
      <c r="G61" s="137"/>
      <c r="H61" s="137"/>
      <c r="I61" s="137"/>
      <c r="J61" s="137"/>
      <c r="K61" s="137"/>
      <c r="L61" s="137"/>
      <c r="M61" s="137"/>
      <c r="N61" s="137"/>
      <c r="O61" s="137"/>
      <c r="P61" s="138"/>
    </row>
    <row r="62" spans="2:17" x14ac:dyDescent="0.3">
      <c r="B62" s="145"/>
      <c r="C62" s="146"/>
      <c r="D62" s="139"/>
      <c r="E62" s="140"/>
      <c r="F62" s="140"/>
      <c r="G62" s="140"/>
      <c r="H62" s="140"/>
      <c r="I62" s="140"/>
      <c r="J62" s="140"/>
      <c r="K62" s="140"/>
      <c r="L62" s="140"/>
      <c r="M62" s="140"/>
      <c r="N62" s="140"/>
      <c r="O62" s="140"/>
      <c r="P62" s="141"/>
    </row>
    <row r="63" spans="2:17" ht="14.4" customHeight="1" x14ac:dyDescent="0.3">
      <c r="B63" s="143" t="s">
        <v>88</v>
      </c>
      <c r="C63" s="144"/>
      <c r="D63" s="136"/>
      <c r="E63" s="137"/>
      <c r="F63" s="137"/>
      <c r="G63" s="137"/>
      <c r="H63" s="137"/>
      <c r="I63" s="137"/>
      <c r="J63" s="137"/>
      <c r="K63" s="137"/>
      <c r="L63" s="137"/>
      <c r="M63" s="137"/>
      <c r="N63" s="137"/>
      <c r="O63" s="137"/>
      <c r="P63" s="138"/>
    </row>
    <row r="64" spans="2:17" x14ac:dyDescent="0.3">
      <c r="B64" s="145"/>
      <c r="C64" s="146"/>
      <c r="D64" s="139"/>
      <c r="E64" s="140"/>
      <c r="F64" s="140"/>
      <c r="G64" s="140"/>
      <c r="H64" s="140"/>
      <c r="I64" s="140"/>
      <c r="J64" s="140"/>
      <c r="K64" s="140"/>
      <c r="L64" s="140"/>
      <c r="M64" s="140"/>
      <c r="N64" s="140"/>
      <c r="O64" s="140"/>
      <c r="P64" s="141"/>
    </row>
    <row r="65" spans="2:16" x14ac:dyDescent="0.3">
      <c r="B65" s="132" t="s">
        <v>89</v>
      </c>
      <c r="C65" s="132"/>
      <c r="D65" s="142"/>
      <c r="E65" s="142"/>
      <c r="F65" s="142"/>
      <c r="G65" s="142"/>
      <c r="H65" s="142"/>
      <c r="I65" s="142"/>
      <c r="J65" s="142"/>
      <c r="K65" s="142"/>
      <c r="L65" s="142"/>
      <c r="M65" s="142"/>
      <c r="N65" s="142"/>
      <c r="O65" s="142"/>
      <c r="P65" s="142"/>
    </row>
    <row r="66" spans="2:16" x14ac:dyDescent="0.3">
      <c r="B66" s="132"/>
      <c r="C66" s="132"/>
      <c r="D66" s="142"/>
      <c r="E66" s="142"/>
      <c r="F66" s="142"/>
      <c r="G66" s="142"/>
      <c r="H66" s="142"/>
      <c r="I66" s="142"/>
      <c r="J66" s="142"/>
      <c r="K66" s="142"/>
      <c r="L66" s="142"/>
      <c r="M66" s="142"/>
      <c r="N66" s="142"/>
      <c r="O66" s="142"/>
      <c r="P66" s="142"/>
    </row>
  </sheetData>
  <mergeCells count="40">
    <mergeCell ref="N42:N52"/>
    <mergeCell ref="O42:O52"/>
    <mergeCell ref="P42:P52"/>
    <mergeCell ref="B42:B52"/>
    <mergeCell ref="C42:C52"/>
    <mergeCell ref="H42:H52"/>
    <mergeCell ref="I42:I52"/>
    <mergeCell ref="J42:J52"/>
    <mergeCell ref="K42:K52"/>
    <mergeCell ref="L42:L52"/>
    <mergeCell ref="D35:P35"/>
    <mergeCell ref="B65:C66"/>
    <mergeCell ref="D61:P62"/>
    <mergeCell ref="D63:P64"/>
    <mergeCell ref="D65:P66"/>
    <mergeCell ref="B63:C64"/>
    <mergeCell ref="B61:C62"/>
    <mergeCell ref="B59:C59"/>
    <mergeCell ref="B53:C53"/>
    <mergeCell ref="B55:C55"/>
    <mergeCell ref="B57:C57"/>
    <mergeCell ref="D42:D52"/>
    <mergeCell ref="E42:E52"/>
    <mergeCell ref="F42:F52"/>
    <mergeCell ref="G42:G52"/>
    <mergeCell ref="M42:M52"/>
    <mergeCell ref="B2:C2"/>
    <mergeCell ref="B3:C3"/>
    <mergeCell ref="B5:C5"/>
    <mergeCell ref="B7:C7"/>
    <mergeCell ref="D30:P30"/>
    <mergeCell ref="B14:P14"/>
    <mergeCell ref="B16:P16"/>
    <mergeCell ref="B29:C29"/>
    <mergeCell ref="D29:P29"/>
    <mergeCell ref="B15:C15"/>
    <mergeCell ref="D21:P21"/>
    <mergeCell ref="D22:P22"/>
    <mergeCell ref="B21:C21"/>
    <mergeCell ref="B19:C19"/>
  </mergeCells>
  <pageMargins left="0.11811023622047245" right="0.19685039370078741" top="0.19685039370078741" bottom="0.19685039370078741" header="0.31496062992125984" footer="0.31496062992125984"/>
  <pageSetup paperSize="9" scale="45" orientation="landscape" r:id="rId1"/>
  <headerFooter>
    <oddHeader>&amp;R&amp;"-,Negrito itálico"&amp;D</oddHeader>
    <oddFooter>&amp;R&amp;"-,Negrito itálico"Edson OLiveira - Controladoria IGEVE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7E8DD-D857-4848-8936-348327B2B6C0}">
  <dimension ref="B2:T13"/>
  <sheetViews>
    <sheetView workbookViewId="0">
      <selection activeCell="L7" sqref="L7"/>
    </sheetView>
  </sheetViews>
  <sheetFormatPr defaultRowHeight="14.4" x14ac:dyDescent="0.3"/>
  <cols>
    <col min="1" max="1" width="2.44140625" customWidth="1"/>
    <col min="3" max="3" width="19.21875" customWidth="1"/>
    <col min="5" max="5" width="11.44140625" customWidth="1"/>
    <col min="6" max="6" width="11.109375" customWidth="1"/>
    <col min="7" max="8" width="10.77734375" customWidth="1"/>
    <col min="9" max="9" width="10.21875" customWidth="1"/>
    <col min="10" max="10" width="11.77734375" customWidth="1"/>
    <col min="11" max="11" width="2.6640625" customWidth="1"/>
    <col min="13" max="13" width="21.88671875" customWidth="1"/>
    <col min="15" max="15" width="11.109375" customWidth="1"/>
    <col min="16" max="16" width="12" customWidth="1"/>
    <col min="17" max="17" width="11" customWidth="1"/>
    <col min="18" max="18" width="10.21875" customWidth="1"/>
    <col min="19" max="19" width="10.44140625" customWidth="1"/>
    <col min="20" max="20" width="11.77734375" customWidth="1"/>
  </cols>
  <sheetData>
    <row r="2" spans="2:20" ht="15" thickBot="1" x14ac:dyDescent="0.35"/>
    <row r="3" spans="2:20" ht="70.2" customHeight="1" thickBot="1" x14ac:dyDescent="0.35">
      <c r="B3" s="84" t="s">
        <v>125</v>
      </c>
      <c r="C3" s="85" t="s">
        <v>129</v>
      </c>
      <c r="D3" s="85" t="s">
        <v>126</v>
      </c>
      <c r="E3" s="85" t="s">
        <v>26</v>
      </c>
      <c r="F3" s="85" t="s">
        <v>128</v>
      </c>
      <c r="G3" s="85" t="s">
        <v>127</v>
      </c>
      <c r="H3" s="85" t="s">
        <v>27</v>
      </c>
      <c r="I3" s="85" t="s">
        <v>21</v>
      </c>
      <c r="J3" s="86" t="s">
        <v>130</v>
      </c>
      <c r="L3" s="84" t="s">
        <v>125</v>
      </c>
      <c r="M3" s="85" t="s">
        <v>129</v>
      </c>
      <c r="N3" s="85" t="s">
        <v>126</v>
      </c>
      <c r="O3" s="85" t="s">
        <v>26</v>
      </c>
      <c r="P3" s="85" t="s">
        <v>128</v>
      </c>
      <c r="Q3" s="85" t="s">
        <v>127</v>
      </c>
      <c r="R3" s="85" t="s">
        <v>27</v>
      </c>
      <c r="S3" s="85" t="s">
        <v>21</v>
      </c>
      <c r="T3" s="86" t="s">
        <v>131</v>
      </c>
    </row>
    <row r="4" spans="2:20" ht="21.6" customHeight="1" x14ac:dyDescent="0.3">
      <c r="B4" s="87">
        <f>VPTA!C15</f>
        <v>1</v>
      </c>
      <c r="C4" s="88" t="str">
        <f>VPTA!A15</f>
        <v>DIRETOR</v>
      </c>
      <c r="D4" s="88">
        <f>VPTA!B15</f>
        <v>40</v>
      </c>
      <c r="E4" s="89">
        <f>VPTA!D15</f>
        <v>2976.46</v>
      </c>
      <c r="F4" s="90">
        <f>VPTA!H15+VPTA!I15+VPTA!J15+VPTA!K15+VPTA!O26</f>
        <v>1062.4308611111112</v>
      </c>
      <c r="G4" s="90">
        <f>VPTA!L15+VPTA!M15+VPTA!N15+VPTA!O15+VPTA!P15+VPTA!I26+VPTA!J26+VPTA!K26+VPTA!M26</f>
        <v>1091.8647433333335</v>
      </c>
      <c r="H4" s="90">
        <f>VPTA!N26</f>
        <v>39.200000000000003</v>
      </c>
      <c r="I4" s="90">
        <f>VPTA!L26</f>
        <v>462</v>
      </c>
      <c r="J4" s="91">
        <f t="shared" ref="J4:J11" si="0">SUM(E4:I4)</f>
        <v>5631.9556044444444</v>
      </c>
      <c r="L4" s="87">
        <v>1</v>
      </c>
      <c r="M4" s="88" t="s">
        <v>93</v>
      </c>
      <c r="N4" s="88">
        <v>40</v>
      </c>
      <c r="O4" s="89">
        <f t="shared" ref="O4:S10" si="1">E4*12</f>
        <v>35717.520000000004</v>
      </c>
      <c r="P4" s="90">
        <f t="shared" si="1"/>
        <v>12749.170333333335</v>
      </c>
      <c r="Q4" s="90">
        <f t="shared" si="1"/>
        <v>13102.376920000002</v>
      </c>
      <c r="R4" s="90">
        <f t="shared" si="1"/>
        <v>470.40000000000003</v>
      </c>
      <c r="S4" s="90">
        <f t="shared" si="1"/>
        <v>5544</v>
      </c>
      <c r="T4" s="91">
        <f>SUM(O4:S4)</f>
        <v>67583.467253333336</v>
      </c>
    </row>
    <row r="5" spans="2:20" ht="22.8" customHeight="1" x14ac:dyDescent="0.3">
      <c r="B5" s="92">
        <f>VPTA!C16</f>
        <v>1</v>
      </c>
      <c r="C5" s="93" t="str">
        <f>VPTA!A16</f>
        <v>COORDENADOR PEDAGÓGICO</v>
      </c>
      <c r="D5" s="93">
        <f>VPTA!B16</f>
        <v>40</v>
      </c>
      <c r="E5" s="94">
        <f>VPTA!D16</f>
        <v>2836.71</v>
      </c>
      <c r="F5" s="95">
        <f>VPTA!H16+VPTA!I16+VPTA!J16+VPTA!K16+VPTA!O27</f>
        <v>1012.5478750000001</v>
      </c>
      <c r="G5" s="95">
        <f>VPTA!L16+VPTA!M16+VPTA!N16+VPTA!O16+VPTA!P16+VPTA!I27+VPTA!J27+VPTA!K27+VPTA!M27</f>
        <v>1040.5997850000001</v>
      </c>
      <c r="H5" s="95">
        <f>VPTA!N27</f>
        <v>39.200000000000003</v>
      </c>
      <c r="I5" s="95">
        <f>VPTA!L27</f>
        <v>462</v>
      </c>
      <c r="J5" s="96">
        <f t="shared" si="0"/>
        <v>5391.0576600000004</v>
      </c>
      <c r="L5" s="92">
        <v>1</v>
      </c>
      <c r="M5" s="93" t="s">
        <v>107</v>
      </c>
      <c r="N5" s="93">
        <v>40</v>
      </c>
      <c r="O5" s="94">
        <f t="shared" si="1"/>
        <v>34040.520000000004</v>
      </c>
      <c r="P5" s="95">
        <f t="shared" si="1"/>
        <v>12150.574500000001</v>
      </c>
      <c r="Q5" s="95">
        <f t="shared" si="1"/>
        <v>12487.19742</v>
      </c>
      <c r="R5" s="95">
        <f t="shared" si="1"/>
        <v>470.40000000000003</v>
      </c>
      <c r="S5" s="95">
        <f t="shared" si="1"/>
        <v>5544</v>
      </c>
      <c r="T5" s="96">
        <f>SUM(O5:S5)</f>
        <v>64692.691920000005</v>
      </c>
    </row>
    <row r="6" spans="2:20" ht="23.4" customHeight="1" x14ac:dyDescent="0.3">
      <c r="B6" s="92">
        <f>VPTA!C17</f>
        <v>4</v>
      </c>
      <c r="C6" s="93" t="str">
        <f>VPTA!A17</f>
        <v>PROFESSORES</v>
      </c>
      <c r="D6" s="93">
        <f>VPTA!B17</f>
        <v>40</v>
      </c>
      <c r="E6" s="94">
        <f>VPTA!D17</f>
        <v>10476</v>
      </c>
      <c r="F6" s="95">
        <f>VPTA!H17+VPTA!I17+VPTA!J17+VPTA!K17+VPTA!O28</f>
        <v>3739.3500000000004</v>
      </c>
      <c r="G6" s="95">
        <f>VPTA!L17+VPTA!M17+VPTA!N17+VPTA!O17+VPTA!P17+VPTA!I28+VPTA!J28+VPTA!K28+VPTA!M28</f>
        <v>3842.9459999999995</v>
      </c>
      <c r="H6" s="95">
        <f>VPTA!N28</f>
        <v>156.80000000000001</v>
      </c>
      <c r="I6" s="95">
        <f>VPTA!L28</f>
        <v>1848</v>
      </c>
      <c r="J6" s="96">
        <f t="shared" si="0"/>
        <v>20063.095999999998</v>
      </c>
      <c r="L6" s="92">
        <v>4</v>
      </c>
      <c r="M6" s="93" t="s">
        <v>94</v>
      </c>
      <c r="N6" s="93">
        <v>40</v>
      </c>
      <c r="O6" s="94">
        <f t="shared" si="1"/>
        <v>125712</v>
      </c>
      <c r="P6" s="95">
        <f t="shared" ref="P6:P10" si="2">F6*12</f>
        <v>44872.200000000004</v>
      </c>
      <c r="Q6" s="95">
        <f t="shared" ref="Q6:Q10" si="3">G6*12</f>
        <v>46115.351999999992</v>
      </c>
      <c r="R6" s="95">
        <f t="shared" ref="R6:R10" si="4">H6*12</f>
        <v>1881.6000000000001</v>
      </c>
      <c r="S6" s="95">
        <f t="shared" ref="S6:S10" si="5">I6*12</f>
        <v>22176</v>
      </c>
      <c r="T6" s="96">
        <f t="shared" ref="T6:T10" si="6">SUM(O6:S6)</f>
        <v>240757.152</v>
      </c>
    </row>
    <row r="7" spans="2:20" ht="24" customHeight="1" x14ac:dyDescent="0.3">
      <c r="B7" s="92">
        <f>VPTA!C18</f>
        <v>15</v>
      </c>
      <c r="C7" s="93" t="str">
        <f>VPTA!A18</f>
        <v>AUXILIAR DE CLASSE</v>
      </c>
      <c r="D7" s="93">
        <f>VPTA!B18</f>
        <v>40</v>
      </c>
      <c r="E7" s="94">
        <f>VPTA!D18</f>
        <v>25365</v>
      </c>
      <c r="F7" s="95">
        <f>VPTA!H18+VPTA!I18+VPTA!J18+VPTA!K18+VPTA!O29</f>
        <v>9053.8958333333339</v>
      </c>
      <c r="G7" s="95">
        <f>VPTA!L18+VPTA!M18+VPTA!N18+VPTA!O18+VPTA!P18+VPTA!I29+VPTA!J29+VPTA!K29+VPTA!M29</f>
        <v>9304.7275000000009</v>
      </c>
      <c r="H7" s="95">
        <f>VPTA!N29</f>
        <v>588</v>
      </c>
      <c r="I7" s="95">
        <f>VPTA!L29</f>
        <v>6930</v>
      </c>
      <c r="J7" s="96">
        <f t="shared" si="0"/>
        <v>51241.623333333337</v>
      </c>
      <c r="L7" s="92">
        <v>12</v>
      </c>
      <c r="M7" s="93" t="s">
        <v>109</v>
      </c>
      <c r="N7" s="93">
        <v>40</v>
      </c>
      <c r="O7" s="94">
        <f t="shared" si="1"/>
        <v>304380</v>
      </c>
      <c r="P7" s="95">
        <f t="shared" si="2"/>
        <v>108646.75</v>
      </c>
      <c r="Q7" s="95">
        <f t="shared" si="3"/>
        <v>111656.73000000001</v>
      </c>
      <c r="R7" s="95">
        <f t="shared" si="4"/>
        <v>7056</v>
      </c>
      <c r="S7" s="95">
        <f t="shared" si="5"/>
        <v>83160</v>
      </c>
      <c r="T7" s="96">
        <f t="shared" si="6"/>
        <v>614899.48</v>
      </c>
    </row>
    <row r="8" spans="2:20" ht="23.4" customHeight="1" x14ac:dyDescent="0.3">
      <c r="B8" s="92">
        <f>VPTA!C19</f>
        <v>1</v>
      </c>
      <c r="C8" s="93" t="str">
        <f>VPTA!A19</f>
        <v>PROFISSIONAL DE APOIO</v>
      </c>
      <c r="D8" s="93">
        <f>VPTA!B19</f>
        <v>40</v>
      </c>
      <c r="E8" s="94">
        <f>VPTA!D19</f>
        <v>1442</v>
      </c>
      <c r="F8" s="95">
        <f>VPTA!H19+VPTA!I19+VPTA!J19+VPTA!K19+VPTA!O30</f>
        <v>514.71388888888885</v>
      </c>
      <c r="G8" s="95">
        <f>VPTA!L19+VPTA!M19+VPTA!N19+VPTA!O19+VPTA!P19+VPTA!I30+VPTA!J30+VPTA!K30+VPTA!M30</f>
        <v>528.97366666666676</v>
      </c>
      <c r="H8" s="95">
        <f>VPTA!N30</f>
        <v>39.200000000000003</v>
      </c>
      <c r="I8" s="95">
        <f>VPTA!L30</f>
        <v>462</v>
      </c>
      <c r="J8" s="96">
        <f t="shared" si="0"/>
        <v>2986.8875555555555</v>
      </c>
      <c r="L8" s="92">
        <v>1</v>
      </c>
      <c r="M8" s="93" t="s">
        <v>110</v>
      </c>
      <c r="N8" s="93">
        <v>40</v>
      </c>
      <c r="O8" s="94">
        <f t="shared" si="1"/>
        <v>17304</v>
      </c>
      <c r="P8" s="95">
        <f t="shared" si="2"/>
        <v>6176.5666666666657</v>
      </c>
      <c r="Q8" s="95">
        <f t="shared" si="3"/>
        <v>6347.6840000000011</v>
      </c>
      <c r="R8" s="95">
        <f t="shared" si="4"/>
        <v>470.40000000000003</v>
      </c>
      <c r="S8" s="95">
        <f t="shared" si="5"/>
        <v>5544</v>
      </c>
      <c r="T8" s="96">
        <f t="shared" si="6"/>
        <v>35842.650666666668</v>
      </c>
    </row>
    <row r="9" spans="2:20" ht="22.8" customHeight="1" x14ac:dyDescent="0.3">
      <c r="B9" s="92">
        <f>VPTA!C20</f>
        <v>1</v>
      </c>
      <c r="C9" s="93" t="str">
        <f>VPTA!A20</f>
        <v>AUXILIAR ADM</v>
      </c>
      <c r="D9" s="93">
        <f>VPTA!B20</f>
        <v>40</v>
      </c>
      <c r="E9" s="94">
        <f>VPTA!D20</f>
        <v>1442</v>
      </c>
      <c r="F9" s="95">
        <f>VPTA!H20+VPTA!I20+VPTA!J20+VPTA!K20+VPTA!O31</f>
        <v>514.71388888888885</v>
      </c>
      <c r="G9" s="95">
        <f>VPTA!L20+VPTA!M20+VPTA!N20+VPTA!O20+VPTA!P20+VPTA!I31+VPTA!J31+VPTA!K31+VPTA!M31</f>
        <v>528.97366666666676</v>
      </c>
      <c r="H9" s="95">
        <f>VPTA!N31</f>
        <v>39.200000000000003</v>
      </c>
      <c r="I9" s="95">
        <f>VPTA!L31</f>
        <v>462</v>
      </c>
      <c r="J9" s="96">
        <f t="shared" si="0"/>
        <v>2986.8875555555555</v>
      </c>
      <c r="L9" s="92">
        <v>1</v>
      </c>
      <c r="M9" s="93" t="s">
        <v>108</v>
      </c>
      <c r="N9" s="93">
        <v>40</v>
      </c>
      <c r="O9" s="94">
        <f t="shared" si="1"/>
        <v>17304</v>
      </c>
      <c r="P9" s="95">
        <f t="shared" si="2"/>
        <v>6176.5666666666657</v>
      </c>
      <c r="Q9" s="95">
        <f t="shared" si="3"/>
        <v>6347.6840000000011</v>
      </c>
      <c r="R9" s="95">
        <f t="shared" si="4"/>
        <v>470.40000000000003</v>
      </c>
      <c r="S9" s="95">
        <f t="shared" si="5"/>
        <v>5544</v>
      </c>
      <c r="T9" s="96">
        <f t="shared" si="6"/>
        <v>35842.650666666668</v>
      </c>
    </row>
    <row r="10" spans="2:20" ht="25.2" customHeight="1" thickBot="1" x14ac:dyDescent="0.35">
      <c r="B10" s="92">
        <f>VPTA!C21</f>
        <v>3</v>
      </c>
      <c r="C10" s="93" t="str">
        <f>VPTA!A21</f>
        <v>AUXILIAR DE LIMPEZA</v>
      </c>
      <c r="D10" s="93">
        <f>VPTA!B21</f>
        <v>40</v>
      </c>
      <c r="E10" s="94">
        <f>VPTA!D21</f>
        <v>4326</v>
      </c>
      <c r="F10" s="95">
        <f>VPTA!H21+VPTA!I21+VPTA!J21+VPTA!K21+VPTA!O32</f>
        <v>1544.1416666666667</v>
      </c>
      <c r="G10" s="95">
        <f>VPTA!L21+VPTA!M21+VPTA!N21+VPTA!O21+VPTA!P21+VPTA!I32+VPTA!J32+VPTA!K32+VPTA!M32</f>
        <v>1586.921</v>
      </c>
      <c r="H10" s="95">
        <f>VPTA!N32</f>
        <v>117.60000000000001</v>
      </c>
      <c r="I10" s="95">
        <f>VPTA!L32</f>
        <v>1386</v>
      </c>
      <c r="J10" s="96">
        <f t="shared" si="0"/>
        <v>8960.6626666666671</v>
      </c>
      <c r="L10" s="92">
        <v>3</v>
      </c>
      <c r="M10" s="93" t="s">
        <v>105</v>
      </c>
      <c r="N10" s="93">
        <v>40</v>
      </c>
      <c r="O10" s="94">
        <f t="shared" si="1"/>
        <v>51912</v>
      </c>
      <c r="P10" s="95">
        <f t="shared" si="2"/>
        <v>18529.7</v>
      </c>
      <c r="Q10" s="95">
        <f t="shared" si="3"/>
        <v>19043.052</v>
      </c>
      <c r="R10" s="95">
        <f t="shared" si="4"/>
        <v>1411.2</v>
      </c>
      <c r="S10" s="95">
        <f t="shared" si="5"/>
        <v>16632</v>
      </c>
      <c r="T10" s="96">
        <f t="shared" si="6"/>
        <v>107527.95199999999</v>
      </c>
    </row>
    <row r="11" spans="2:20" ht="24" customHeight="1" thickBot="1" x14ac:dyDescent="0.35">
      <c r="B11" s="99">
        <f>SUM(B4:B10)</f>
        <v>26</v>
      </c>
      <c r="C11" s="151" t="s">
        <v>28</v>
      </c>
      <c r="D11" s="152"/>
      <c r="E11" s="97">
        <f t="shared" ref="E11:I11" si="7">SUM(E4:E10)</f>
        <v>48864.17</v>
      </c>
      <c r="F11" s="97">
        <f t="shared" si="7"/>
        <v>17441.794013888892</v>
      </c>
      <c r="G11" s="97">
        <f t="shared" si="7"/>
        <v>17925.006361666667</v>
      </c>
      <c r="H11" s="97">
        <f t="shared" si="7"/>
        <v>1019.2000000000002</v>
      </c>
      <c r="I11" s="97">
        <f t="shared" si="7"/>
        <v>12012</v>
      </c>
      <c r="J11" s="98">
        <f t="shared" si="0"/>
        <v>97262.170375555565</v>
      </c>
      <c r="L11" s="99">
        <f>SUM(L4:L10)</f>
        <v>23</v>
      </c>
      <c r="M11" s="151" t="s">
        <v>28</v>
      </c>
      <c r="N11" s="152"/>
      <c r="O11" s="97">
        <f>SUM(O4:O10)</f>
        <v>586370.04</v>
      </c>
      <c r="P11" s="97">
        <f t="shared" ref="P11:S11" si="8">SUM(P4:P10)</f>
        <v>209301.52816666669</v>
      </c>
      <c r="Q11" s="97">
        <f t="shared" si="8"/>
        <v>215100.07634</v>
      </c>
      <c r="R11" s="97">
        <f t="shared" si="8"/>
        <v>12230.4</v>
      </c>
      <c r="S11" s="97">
        <f t="shared" si="8"/>
        <v>144144</v>
      </c>
      <c r="T11" s="98">
        <v>915571.68</v>
      </c>
    </row>
    <row r="13" spans="2:20" x14ac:dyDescent="0.3">
      <c r="J13" s="100"/>
    </row>
  </sheetData>
  <mergeCells count="2">
    <mergeCell ref="C11:D11"/>
    <mergeCell ref="M11:N1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VPTA</vt:lpstr>
      <vt:lpstr>Plano Orçamentario</vt:lpstr>
      <vt:lpstr>Plano Analitico</vt:lpstr>
      <vt:lpstr>Planilha1</vt:lpstr>
    </vt:vector>
  </TitlesOfParts>
  <Manager/>
  <Company>LG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dc:creator>
  <cp:keywords/>
  <dc:description/>
  <cp:lastModifiedBy>mixcom</cp:lastModifiedBy>
  <cp:revision/>
  <cp:lastPrinted>2021-08-29T20:02:17Z</cp:lastPrinted>
  <dcterms:created xsi:type="dcterms:W3CDTF">2016-11-17T19:38:39Z</dcterms:created>
  <dcterms:modified xsi:type="dcterms:W3CDTF">2022-09-29T16:18:52Z</dcterms:modified>
  <cp:category/>
  <cp:contentStatus/>
</cp:coreProperties>
</file>