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son\Desktop\Diversos\IGEVE\Jaçana Tremembe\Conchila\"/>
    </mc:Choice>
  </mc:AlternateContent>
  <xr:revisionPtr revIDLastSave="0" documentId="13_ncr:1_{249B50DA-90BD-4FCF-9C03-78A69FF84954}" xr6:coauthVersionLast="46" xr6:coauthVersionMax="46" xr10:uidLastSave="{00000000-0000-0000-0000-000000000000}"/>
  <bookViews>
    <workbookView xWindow="-108" yWindow="-108" windowWidth="23256" windowHeight="12576" tabRatio="888" xr2:uid="{00000000-000D-0000-FFFF-FFFF00000000}"/>
  </bookViews>
  <sheets>
    <sheet name="VPTA" sheetId="14" r:id="rId1"/>
    <sheet name="Anexo VII" sheetId="19" state="hidden" r:id="rId2"/>
    <sheet name="Plano Orçamentario" sheetId="16" r:id="rId3"/>
    <sheet name="Plano Analitico" sheetId="20" r:id="rId4"/>
    <sheet name="Plan2" sheetId="22" r:id="rId5"/>
    <sheet name="Plan1" sheetId="21" r:id="rId6"/>
    <sheet name="Plan3" sheetId="23" r:id="rId7"/>
    <sheet name="Plan4" sheetId="24" r:id="rId8"/>
    <sheet name="Planilha1" sheetId="25" r:id="rId9"/>
  </sheets>
  <definedNames>
    <definedName name="_xlnm.Print_Area" localSheetId="0">VPTA!$A$1:$M$28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4" l="1"/>
  <c r="G16" i="14"/>
  <c r="G17" i="14"/>
  <c r="G18" i="14"/>
  <c r="G19" i="14"/>
  <c r="G14" i="14"/>
  <c r="G13" i="14"/>
  <c r="G27" i="16"/>
  <c r="E24" i="16"/>
  <c r="E23" i="16"/>
  <c r="F23" i="16" s="1"/>
  <c r="F24" i="16"/>
  <c r="G25" i="16"/>
  <c r="H25" i="16" s="1"/>
  <c r="C25" i="16"/>
  <c r="B25" i="16"/>
  <c r="B26" i="16"/>
  <c r="B24" i="16"/>
  <c r="B23" i="16"/>
  <c r="B22" i="16"/>
  <c r="D43" i="20"/>
  <c r="O37" i="20"/>
  <c r="N37" i="20"/>
  <c r="M37" i="20"/>
  <c r="L37" i="20"/>
  <c r="K37" i="20"/>
  <c r="J37" i="20"/>
  <c r="I37" i="20"/>
  <c r="H37" i="20"/>
  <c r="G37" i="20"/>
  <c r="F37" i="20"/>
  <c r="P37" i="20" s="1"/>
  <c r="E37" i="20"/>
  <c r="O29" i="20"/>
  <c r="N29" i="20"/>
  <c r="M29" i="20"/>
  <c r="L29" i="20"/>
  <c r="K29" i="20"/>
  <c r="J29" i="20"/>
  <c r="I29" i="20"/>
  <c r="H29" i="20"/>
  <c r="G29" i="20"/>
  <c r="F29" i="20"/>
  <c r="P29" i="20" s="1"/>
  <c r="E29" i="20"/>
  <c r="F19" i="14"/>
  <c r="F18" i="14"/>
  <c r="F17" i="14"/>
  <c r="F16" i="14"/>
  <c r="F15" i="14"/>
  <c r="F14" i="14"/>
  <c r="F13" i="14"/>
  <c r="D35" i="20"/>
  <c r="E22" i="16"/>
  <c r="I3" i="14" l="1"/>
  <c r="C10" i="14" l="1"/>
  <c r="C9" i="14"/>
  <c r="I6" i="14" l="1"/>
  <c r="D14" i="20"/>
  <c r="M14" i="20" s="1"/>
  <c r="H3" i="14"/>
  <c r="G24" i="16"/>
  <c r="H24" i="16" s="1"/>
  <c r="G23" i="16"/>
  <c r="H23" i="16" s="1"/>
  <c r="C24" i="16"/>
  <c r="C23" i="16"/>
  <c r="F14" i="20" l="1"/>
  <c r="J14" i="20"/>
  <c r="N14" i="20"/>
  <c r="G14" i="20"/>
  <c r="K14" i="20"/>
  <c r="O14" i="20"/>
  <c r="H14" i="20"/>
  <c r="L14" i="20"/>
  <c r="E14" i="20"/>
  <c r="I14" i="20"/>
  <c r="H31" i="16"/>
  <c r="P14" i="20" l="1"/>
  <c r="J8" i="25"/>
  <c r="J7" i="25"/>
  <c r="H8" i="25"/>
  <c r="H7" i="25"/>
  <c r="G8" i="25"/>
  <c r="I8" i="25" s="1"/>
  <c r="G7" i="25"/>
  <c r="K7" i="23"/>
  <c r="K8" i="23"/>
  <c r="K9" i="23"/>
  <c r="K10" i="23"/>
  <c r="K11" i="23"/>
  <c r="E7" i="23"/>
  <c r="E8" i="23"/>
  <c r="E9" i="23"/>
  <c r="E10" i="23"/>
  <c r="E11" i="23"/>
  <c r="F7" i="23"/>
  <c r="F8" i="23"/>
  <c r="F9" i="23"/>
  <c r="F10" i="23"/>
  <c r="F11" i="23"/>
  <c r="F6" i="23"/>
  <c r="F5" i="23"/>
  <c r="E6" i="23"/>
  <c r="E5" i="23"/>
  <c r="D7" i="23"/>
  <c r="D8" i="23"/>
  <c r="D9" i="23"/>
  <c r="D10" i="23"/>
  <c r="D11" i="23"/>
  <c r="D6" i="23"/>
  <c r="D5" i="23"/>
  <c r="J8" i="14"/>
  <c r="J9" i="14"/>
  <c r="K16" i="14"/>
  <c r="M8" i="23" s="1"/>
  <c r="J16" i="14"/>
  <c r="L8" i="23" s="1"/>
  <c r="E16" i="14"/>
  <c r="K19" i="14"/>
  <c r="M11" i="23" s="1"/>
  <c r="J19" i="14"/>
  <c r="L11" i="23" s="1"/>
  <c r="E19" i="14"/>
  <c r="H11" i="23" l="1"/>
  <c r="G8" i="23"/>
  <c r="H8" i="23"/>
  <c r="J9" i="25"/>
  <c r="H9" i="25"/>
  <c r="G9" i="25"/>
  <c r="H19" i="14"/>
  <c r="J11" i="23" s="1"/>
  <c r="G11" i="23"/>
  <c r="I7" i="25"/>
  <c r="I9" i="25" s="1"/>
  <c r="F9" i="25"/>
  <c r="H16" i="14"/>
  <c r="J8" i="23" s="1"/>
  <c r="I11" i="23" l="1"/>
  <c r="L19" i="14"/>
  <c r="I8" i="23"/>
  <c r="N8" i="23" s="1"/>
  <c r="L16" i="14"/>
  <c r="N11" i="23"/>
  <c r="O26" i="20" l="1"/>
  <c r="N26" i="20"/>
  <c r="M26" i="20"/>
  <c r="L26" i="20"/>
  <c r="K26" i="20"/>
  <c r="J26" i="20"/>
  <c r="I26" i="20"/>
  <c r="H26" i="20"/>
  <c r="G26" i="20"/>
  <c r="F26" i="20"/>
  <c r="E26" i="20"/>
  <c r="D59" i="20"/>
  <c r="I6" i="24" l="1"/>
  <c r="E6" i="24"/>
  <c r="K5" i="23"/>
  <c r="K6" i="23"/>
  <c r="J13" i="14"/>
  <c r="L5" i="23" s="1"/>
  <c r="K13" i="14"/>
  <c r="M5" i="23" s="1"/>
  <c r="J14" i="14"/>
  <c r="L6" i="23" s="1"/>
  <c r="K14" i="14"/>
  <c r="M6" i="23" s="1"/>
  <c r="J15" i="14"/>
  <c r="L7" i="23" s="1"/>
  <c r="K15" i="14"/>
  <c r="M7" i="23" s="1"/>
  <c r="J17" i="14"/>
  <c r="L9" i="23" s="1"/>
  <c r="K17" i="14"/>
  <c r="M9" i="23" s="1"/>
  <c r="J18" i="14"/>
  <c r="L10" i="23" s="1"/>
  <c r="K18" i="14"/>
  <c r="M10" i="23" s="1"/>
  <c r="E7" i="24"/>
  <c r="E10" i="24" l="1"/>
  <c r="I10" i="24"/>
  <c r="M12" i="23" l="1"/>
  <c r="L12" i="23"/>
  <c r="K12" i="23"/>
  <c r="E14" i="14"/>
  <c r="E15" i="14"/>
  <c r="E17" i="14"/>
  <c r="E18" i="14"/>
  <c r="E13" i="14"/>
  <c r="H27" i="16"/>
  <c r="O35" i="20"/>
  <c r="N35" i="20"/>
  <c r="M35" i="20"/>
  <c r="L35" i="20"/>
  <c r="K35" i="20"/>
  <c r="J35" i="20"/>
  <c r="I35" i="20"/>
  <c r="H35" i="20"/>
  <c r="G35" i="20"/>
  <c r="F35" i="20"/>
  <c r="E35" i="20"/>
  <c r="B11" i="14"/>
  <c r="J6" i="14" s="1"/>
  <c r="D13" i="21"/>
  <c r="D24" i="21" s="1"/>
  <c r="D14" i="21"/>
  <c r="D15" i="21"/>
  <c r="D16" i="21"/>
  <c r="D17" i="21"/>
  <c r="D18" i="21"/>
  <c r="D19" i="21"/>
  <c r="D20" i="21"/>
  <c r="D21" i="21"/>
  <c r="D22" i="21"/>
  <c r="C24" i="21"/>
  <c r="G28" i="16"/>
  <c r="H28" i="16" s="1"/>
  <c r="G26" i="16"/>
  <c r="H26" i="16" s="1"/>
  <c r="G22" i="16"/>
  <c r="H9" i="14"/>
  <c r="E25" i="20"/>
  <c r="E27" i="20"/>
  <c r="E30" i="20"/>
  <c r="E32" i="20"/>
  <c r="E33" i="20"/>
  <c r="E34" i="20"/>
  <c r="E36" i="20"/>
  <c r="E38" i="20"/>
  <c r="E43" i="20" s="1"/>
  <c r="E40" i="20"/>
  <c r="C21" i="14"/>
  <c r="F33" i="20"/>
  <c r="G33" i="20"/>
  <c r="H33" i="20"/>
  <c r="I33" i="20"/>
  <c r="J33" i="20"/>
  <c r="K33" i="20"/>
  <c r="L33" i="20"/>
  <c r="M33" i="20"/>
  <c r="N33" i="20"/>
  <c r="O33" i="20"/>
  <c r="F32" i="20"/>
  <c r="G32" i="20"/>
  <c r="H32" i="20"/>
  <c r="I32" i="20"/>
  <c r="J32" i="20"/>
  <c r="K32" i="20"/>
  <c r="L32" i="20"/>
  <c r="M32" i="20"/>
  <c r="N32" i="20"/>
  <c r="O32" i="20"/>
  <c r="F27" i="20"/>
  <c r="G27" i="20"/>
  <c r="H27" i="20"/>
  <c r="I27" i="20"/>
  <c r="J27" i="20"/>
  <c r="K27" i="20"/>
  <c r="L27" i="20"/>
  <c r="M27" i="20"/>
  <c r="N27" i="20"/>
  <c r="O27" i="20"/>
  <c r="F25" i="20"/>
  <c r="F30" i="20"/>
  <c r="F34" i="20"/>
  <c r="F36" i="20"/>
  <c r="F38" i="20"/>
  <c r="F43" i="20" s="1"/>
  <c r="F40" i="20"/>
  <c r="G25" i="20"/>
  <c r="G30" i="20"/>
  <c r="G34" i="20"/>
  <c r="G36" i="20"/>
  <c r="G38" i="20"/>
  <c r="G43" i="20" s="1"/>
  <c r="G40" i="20"/>
  <c r="H25" i="20"/>
  <c r="H30" i="20"/>
  <c r="H34" i="20"/>
  <c r="H36" i="20"/>
  <c r="H38" i="20"/>
  <c r="H43" i="20" s="1"/>
  <c r="H40" i="20"/>
  <c r="I25" i="20"/>
  <c r="I30" i="20"/>
  <c r="I34" i="20"/>
  <c r="I36" i="20"/>
  <c r="I38" i="20"/>
  <c r="I43" i="20" s="1"/>
  <c r="I40" i="20"/>
  <c r="J25" i="20"/>
  <c r="J30" i="20"/>
  <c r="J34" i="20"/>
  <c r="J36" i="20"/>
  <c r="J38" i="20"/>
  <c r="J43" i="20" s="1"/>
  <c r="J40" i="20"/>
  <c r="K25" i="20"/>
  <c r="K30" i="20"/>
  <c r="K34" i="20"/>
  <c r="K36" i="20"/>
  <c r="K38" i="20"/>
  <c r="K43" i="20" s="1"/>
  <c r="K40" i="20"/>
  <c r="L25" i="20"/>
  <c r="L30" i="20"/>
  <c r="L34" i="20"/>
  <c r="L36" i="20"/>
  <c r="L38" i="20"/>
  <c r="L43" i="20" s="1"/>
  <c r="L40" i="20"/>
  <c r="M25" i="20"/>
  <c r="M30" i="20"/>
  <c r="M34" i="20"/>
  <c r="M36" i="20"/>
  <c r="M38" i="20"/>
  <c r="M43" i="20" s="1"/>
  <c r="M40" i="20"/>
  <c r="N25" i="20"/>
  <c r="N30" i="20"/>
  <c r="N34" i="20"/>
  <c r="N36" i="20"/>
  <c r="N38" i="20"/>
  <c r="N43" i="20" s="1"/>
  <c r="N40" i="20"/>
  <c r="O25" i="20"/>
  <c r="O30" i="20"/>
  <c r="O34" i="20"/>
  <c r="O36" i="20"/>
  <c r="O38" i="20"/>
  <c r="O43" i="20" s="1"/>
  <c r="O40" i="20"/>
  <c r="C22" i="16"/>
  <c r="C26" i="16"/>
  <c r="A18" i="19"/>
  <c r="C18" i="19" s="1"/>
  <c r="AC18" i="19" s="1"/>
  <c r="AE18" i="19" s="1"/>
  <c r="A20" i="19"/>
  <c r="C20" i="19" s="1"/>
  <c r="W20" i="19" s="1"/>
  <c r="Y20" i="19" s="1"/>
  <c r="A19" i="19"/>
  <c r="B19" i="19" s="1"/>
  <c r="A14" i="19"/>
  <c r="A13" i="19"/>
  <c r="B13" i="19" s="1"/>
  <c r="A15" i="19"/>
  <c r="D15" i="19" s="1"/>
  <c r="A16" i="19"/>
  <c r="A17" i="19"/>
  <c r="D17" i="19" s="1"/>
  <c r="E22" i="19"/>
  <c r="D20" i="19"/>
  <c r="I21" i="14"/>
  <c r="H22" i="16" l="1"/>
  <c r="F22" i="16"/>
  <c r="P34" i="20"/>
  <c r="G5" i="23"/>
  <c r="G6" i="23"/>
  <c r="H6" i="23"/>
  <c r="G10" i="23"/>
  <c r="H10" i="23"/>
  <c r="G9" i="23"/>
  <c r="H9" i="23"/>
  <c r="G7" i="23"/>
  <c r="G12" i="23" s="1"/>
  <c r="H7" i="23"/>
  <c r="P38" i="20"/>
  <c r="H14" i="14"/>
  <c r="J6" i="23" s="1"/>
  <c r="P33" i="20"/>
  <c r="P35" i="20"/>
  <c r="P30" i="20"/>
  <c r="P36" i="20"/>
  <c r="P27" i="20"/>
  <c r="G21" i="16"/>
  <c r="H21" i="16" s="1"/>
  <c r="P32" i="20"/>
  <c r="H8" i="14"/>
  <c r="H6" i="14" s="1"/>
  <c r="U20" i="19"/>
  <c r="P25" i="20"/>
  <c r="P26" i="20"/>
  <c r="P40" i="20"/>
  <c r="H18" i="14"/>
  <c r="J10" i="23" s="1"/>
  <c r="H13" i="14"/>
  <c r="J5" i="23" s="1"/>
  <c r="B20" i="19"/>
  <c r="H15" i="14"/>
  <c r="J7" i="23" s="1"/>
  <c r="D18" i="19"/>
  <c r="F18" i="19" s="1"/>
  <c r="C19" i="19"/>
  <c r="Z19" i="19" s="1"/>
  <c r="AB19" i="19" s="1"/>
  <c r="U18" i="19"/>
  <c r="B17" i="19"/>
  <c r="B15" i="19"/>
  <c r="Z18" i="19"/>
  <c r="AB18" i="19" s="1"/>
  <c r="AC20" i="19"/>
  <c r="AE20" i="19" s="1"/>
  <c r="F20" i="19"/>
  <c r="Z20" i="19"/>
  <c r="AB20" i="19" s="1"/>
  <c r="C16" i="19"/>
  <c r="B16" i="19"/>
  <c r="D16" i="19"/>
  <c r="D14" i="19"/>
  <c r="C14" i="19"/>
  <c r="B14" i="19"/>
  <c r="J21" i="14"/>
  <c r="K21" i="14"/>
  <c r="H17" i="14"/>
  <c r="J9" i="23" s="1"/>
  <c r="E21" i="14"/>
  <c r="W18" i="19"/>
  <c r="Y18" i="19" s="1"/>
  <c r="C15" i="19"/>
  <c r="B18" i="19"/>
  <c r="C17" i="19"/>
  <c r="C13" i="19"/>
  <c r="D19" i="19"/>
  <c r="D13" i="19"/>
  <c r="F21" i="14" l="1"/>
  <c r="H5" i="23"/>
  <c r="H12" i="23" s="1"/>
  <c r="L14" i="14"/>
  <c r="I10" i="23"/>
  <c r="N10" i="23" s="1"/>
  <c r="L18" i="14"/>
  <c r="I6" i="23"/>
  <c r="N6" i="23" s="1"/>
  <c r="I7" i="23"/>
  <c r="N7" i="23" s="1"/>
  <c r="L15" i="14"/>
  <c r="I5" i="23"/>
  <c r="N5" i="23" s="1"/>
  <c r="L13" i="14"/>
  <c r="I9" i="23"/>
  <c r="N9" i="23" s="1"/>
  <c r="L17" i="14"/>
  <c r="I21" i="16"/>
  <c r="D13" i="20"/>
  <c r="G18" i="16"/>
  <c r="P43" i="20"/>
  <c r="W19" i="19"/>
  <c r="Y19" i="19" s="1"/>
  <c r="AC19" i="19"/>
  <c r="AE19" i="19" s="1"/>
  <c r="F19" i="19"/>
  <c r="I19" i="19" s="1"/>
  <c r="U19" i="19"/>
  <c r="G21" i="14"/>
  <c r="H21" i="14"/>
  <c r="J12" i="23"/>
  <c r="D22" i="19"/>
  <c r="U14" i="19"/>
  <c r="Z14" i="19"/>
  <c r="AB14" i="19" s="1"/>
  <c r="W14" i="19"/>
  <c r="Y14" i="19" s="1"/>
  <c r="AC14" i="19"/>
  <c r="AE14" i="19" s="1"/>
  <c r="F14" i="19"/>
  <c r="I18" i="19"/>
  <c r="H18" i="19"/>
  <c r="P18" i="19"/>
  <c r="G18" i="19"/>
  <c r="L18" i="19"/>
  <c r="U13" i="19"/>
  <c r="F13" i="19"/>
  <c r="W13" i="19"/>
  <c r="Y13" i="19" s="1"/>
  <c r="Z13" i="19"/>
  <c r="AB13" i="19" s="1"/>
  <c r="AC13" i="19"/>
  <c r="AE13" i="19" s="1"/>
  <c r="C22" i="19"/>
  <c r="U16" i="19"/>
  <c r="Z16" i="19"/>
  <c r="AB16" i="19" s="1"/>
  <c r="AC16" i="19"/>
  <c r="AE16" i="19" s="1"/>
  <c r="F16" i="19"/>
  <c r="W16" i="19"/>
  <c r="Y16" i="19" s="1"/>
  <c r="U15" i="19"/>
  <c r="W15" i="19"/>
  <c r="Y15" i="19" s="1"/>
  <c r="F15" i="19"/>
  <c r="Z15" i="19"/>
  <c r="AB15" i="19" s="1"/>
  <c r="AC15" i="19"/>
  <c r="AE15" i="19" s="1"/>
  <c r="Z17" i="19"/>
  <c r="AB17" i="19" s="1"/>
  <c r="AC17" i="19"/>
  <c r="AE17" i="19" s="1"/>
  <c r="W17" i="19"/>
  <c r="Y17" i="19" s="1"/>
  <c r="F17" i="19"/>
  <c r="U17" i="19"/>
  <c r="P20" i="19"/>
  <c r="G20" i="19"/>
  <c r="I20" i="19"/>
  <c r="L20" i="19"/>
  <c r="H20" i="19"/>
  <c r="G15" i="20" l="1"/>
  <c r="M15" i="20"/>
  <c r="D19" i="20"/>
  <c r="I19" i="20" s="1"/>
  <c r="G17" i="16"/>
  <c r="D12" i="20"/>
  <c r="N13" i="20"/>
  <c r="N12" i="20" s="1"/>
  <c r="H13" i="20"/>
  <c r="H12" i="20" s="1"/>
  <c r="J13" i="20"/>
  <c r="J12" i="20" s="1"/>
  <c r="F13" i="20"/>
  <c r="F12" i="20" s="1"/>
  <c r="G13" i="20"/>
  <c r="G12" i="20" s="1"/>
  <c r="D56" i="20"/>
  <c r="K13" i="20"/>
  <c r="K12" i="20" s="1"/>
  <c r="M13" i="20"/>
  <c r="M12" i="20" s="1"/>
  <c r="O13" i="20"/>
  <c r="O12" i="20" s="1"/>
  <c r="E13" i="20"/>
  <c r="L13" i="20"/>
  <c r="L12" i="20" s="1"/>
  <c r="I13" i="20"/>
  <c r="I12" i="20" s="1"/>
  <c r="G20" i="16"/>
  <c r="D22" i="20" s="1"/>
  <c r="E22" i="20" s="1"/>
  <c r="G19" i="16"/>
  <c r="D20" i="20" s="1"/>
  <c r="G20" i="20" s="1"/>
  <c r="L19" i="19"/>
  <c r="M19" i="19" s="1"/>
  <c r="N19" i="19" s="1"/>
  <c r="G19" i="19"/>
  <c r="P19" i="19"/>
  <c r="H19" i="19"/>
  <c r="L21" i="14"/>
  <c r="I12" i="23"/>
  <c r="N12" i="23" s="1"/>
  <c r="P15" i="20"/>
  <c r="H4" i="20"/>
  <c r="H5" i="20"/>
  <c r="H16" i="19"/>
  <c r="P16" i="19"/>
  <c r="L16" i="19"/>
  <c r="G16" i="19"/>
  <c r="I16" i="19"/>
  <c r="H17" i="16"/>
  <c r="J20" i="19"/>
  <c r="K20" i="19"/>
  <c r="S20" i="19"/>
  <c r="V20" i="19" s="1"/>
  <c r="AF20" i="19" s="1"/>
  <c r="AE22" i="19"/>
  <c r="U22" i="19"/>
  <c r="M18" i="19"/>
  <c r="R18" i="19" s="1"/>
  <c r="M20" i="19"/>
  <c r="N20" i="19" s="1"/>
  <c r="Y22" i="19"/>
  <c r="L19" i="20"/>
  <c r="N19" i="20"/>
  <c r="J19" i="20"/>
  <c r="H19" i="20"/>
  <c r="P14" i="19"/>
  <c r="G14" i="19"/>
  <c r="L14" i="19"/>
  <c r="I14" i="19"/>
  <c r="H14" i="19"/>
  <c r="S19" i="19"/>
  <c r="J19" i="19"/>
  <c r="K19" i="19"/>
  <c r="G15" i="19"/>
  <c r="H15" i="19"/>
  <c r="I15" i="19"/>
  <c r="P15" i="19"/>
  <c r="L15" i="19"/>
  <c r="F22" i="19"/>
  <c r="P13" i="19"/>
  <c r="L13" i="19"/>
  <c r="I13" i="19"/>
  <c r="H13" i="19"/>
  <c r="G13" i="19"/>
  <c r="I17" i="19"/>
  <c r="H17" i="19"/>
  <c r="G17" i="19"/>
  <c r="L17" i="19"/>
  <c r="P17" i="19"/>
  <c r="AB22" i="19"/>
  <c r="H18" i="16"/>
  <c r="D21" i="20"/>
  <c r="J18" i="19"/>
  <c r="K18" i="19"/>
  <c r="K19" i="20" l="1"/>
  <c r="O19" i="20"/>
  <c r="G19" i="20"/>
  <c r="E19" i="20"/>
  <c r="P19" i="20" s="1"/>
  <c r="F19" i="20"/>
  <c r="M19" i="20"/>
  <c r="G22" i="20"/>
  <c r="H20" i="16"/>
  <c r="F22" i="20"/>
  <c r="M22" i="20"/>
  <c r="E20" i="20"/>
  <c r="J20" i="20"/>
  <c r="H19" i="16"/>
  <c r="N20" i="20"/>
  <c r="P13" i="20"/>
  <c r="P12" i="20" s="1"/>
  <c r="J22" i="20"/>
  <c r="H22" i="20"/>
  <c r="O22" i="20"/>
  <c r="K22" i="20"/>
  <c r="N22" i="20"/>
  <c r="I22" i="20"/>
  <c r="L22" i="20"/>
  <c r="M6" i="14"/>
  <c r="M21" i="14"/>
  <c r="O20" i="20"/>
  <c r="K20" i="20"/>
  <c r="M20" i="20"/>
  <c r="L20" i="20"/>
  <c r="I20" i="20"/>
  <c r="G16" i="16"/>
  <c r="G29" i="16" s="1"/>
  <c r="H20" i="20"/>
  <c r="F20" i="20"/>
  <c r="V19" i="19"/>
  <c r="AF19" i="19" s="1"/>
  <c r="M9" i="14"/>
  <c r="O20" i="19"/>
  <c r="Q20" i="19" s="1"/>
  <c r="O19" i="19"/>
  <c r="Q19" i="19" s="1"/>
  <c r="O18" i="19"/>
  <c r="Q18" i="19" s="1"/>
  <c r="R20" i="19"/>
  <c r="N18" i="19"/>
  <c r="R19" i="19"/>
  <c r="P22" i="19"/>
  <c r="H22" i="19"/>
  <c r="N21" i="20"/>
  <c r="H21" i="20"/>
  <c r="G21" i="20"/>
  <c r="M21" i="20"/>
  <c r="F21" i="20"/>
  <c r="K21" i="20"/>
  <c r="J21" i="20"/>
  <c r="L21" i="20"/>
  <c r="I21" i="20"/>
  <c r="E21" i="20"/>
  <c r="O21" i="20"/>
  <c r="K15" i="19"/>
  <c r="J15" i="19"/>
  <c r="G22" i="19"/>
  <c r="M14" i="19"/>
  <c r="N14" i="19" s="1"/>
  <c r="J16" i="19"/>
  <c r="K16" i="19"/>
  <c r="S16" i="19"/>
  <c r="V16" i="19" s="1"/>
  <c r="AF16" i="19" s="1"/>
  <c r="M17" i="19"/>
  <c r="N17" i="19" s="1"/>
  <c r="J17" i="19"/>
  <c r="K17" i="19"/>
  <c r="S17" i="19"/>
  <c r="V17" i="19" s="1"/>
  <c r="AF17" i="19" s="1"/>
  <c r="K13" i="19"/>
  <c r="J13" i="19"/>
  <c r="I22" i="19"/>
  <c r="D41" i="20"/>
  <c r="L22" i="19"/>
  <c r="M13" i="19"/>
  <c r="O13" i="19" s="1"/>
  <c r="M15" i="19"/>
  <c r="R15" i="19" s="1"/>
  <c r="J14" i="19"/>
  <c r="K14" i="19"/>
  <c r="M16" i="19"/>
  <c r="R16" i="19" s="1"/>
  <c r="G41" i="20" l="1"/>
  <c r="G45" i="20" s="1"/>
  <c r="G47" i="20" s="1"/>
  <c r="E41" i="20"/>
  <c r="E45" i="20" s="1"/>
  <c r="H16" i="16"/>
  <c r="I16" i="16" s="1"/>
  <c r="I29" i="16"/>
  <c r="H33" i="16"/>
  <c r="O41" i="20"/>
  <c r="O45" i="20" s="1"/>
  <c r="O47" i="20" s="1"/>
  <c r="J41" i="20"/>
  <c r="J45" i="20" s="1"/>
  <c r="J47" i="20" s="1"/>
  <c r="I41" i="20"/>
  <c r="I45" i="20" s="1"/>
  <c r="I47" i="20" s="1"/>
  <c r="N41" i="20"/>
  <c r="N45" i="20" s="1"/>
  <c r="N47" i="20" s="1"/>
  <c r="M41" i="20"/>
  <c r="M45" i="20" s="1"/>
  <c r="M47" i="20" s="1"/>
  <c r="P22" i="20"/>
  <c r="L41" i="20"/>
  <c r="L45" i="20" s="1"/>
  <c r="L47" i="20" s="1"/>
  <c r="K41" i="20"/>
  <c r="K45" i="20" s="1"/>
  <c r="K47" i="20" s="1"/>
  <c r="P20" i="20"/>
  <c r="H41" i="20"/>
  <c r="H45" i="20" s="1"/>
  <c r="H47" i="20" s="1"/>
  <c r="F41" i="20"/>
  <c r="F45" i="20" s="1"/>
  <c r="F47" i="20" s="1"/>
  <c r="R14" i="19"/>
  <c r="O14" i="19"/>
  <c r="Q14" i="19" s="1"/>
  <c r="S18" i="19"/>
  <c r="V18" i="19" s="1"/>
  <c r="AF18" i="19" s="1"/>
  <c r="O15" i="19"/>
  <c r="Q15" i="19" s="1"/>
  <c r="N15" i="19"/>
  <c r="P21" i="20"/>
  <c r="N16" i="19"/>
  <c r="O17" i="19"/>
  <c r="Q17" i="19" s="1"/>
  <c r="M22" i="19"/>
  <c r="AF25" i="19" s="1"/>
  <c r="K22" i="19"/>
  <c r="R17" i="19"/>
  <c r="J22" i="19"/>
  <c r="R13" i="19"/>
  <c r="D45" i="20"/>
  <c r="Q13" i="19"/>
  <c r="O16" i="19"/>
  <c r="Q16" i="19" s="1"/>
  <c r="N13" i="19"/>
  <c r="H29" i="16" l="1"/>
  <c r="P41" i="20"/>
  <c r="S14" i="19"/>
  <c r="V14" i="19" s="1"/>
  <c r="AF14" i="19" s="1"/>
  <c r="R22" i="19"/>
  <c r="S15" i="19"/>
  <c r="V15" i="19" s="1"/>
  <c r="AF15" i="19" s="1"/>
  <c r="N22" i="19"/>
  <c r="Q22" i="19"/>
  <c r="O22" i="19"/>
  <c r="D47" i="20"/>
  <c r="P45" i="20"/>
  <c r="P47" i="20" s="1"/>
  <c r="S13" i="19"/>
  <c r="AF24" i="19" l="1"/>
  <c r="S22" i="19"/>
  <c r="AF23" i="19" s="1"/>
  <c r="V13" i="19"/>
  <c r="AF13" i="19" s="1"/>
  <c r="AF22" i="19" s="1"/>
  <c r="E12" i="20" l="1"/>
  <c r="E47" i="20" s="1"/>
</calcChain>
</file>

<file path=xl/sharedStrings.xml><?xml version="1.0" encoding="utf-8"?>
<sst xmlns="http://schemas.openxmlformats.org/spreadsheetml/2006/main" count="312" uniqueCount="212">
  <si>
    <t>VLR CONTRATO ANO</t>
  </si>
  <si>
    <t>VLR CONTRATO MÊS</t>
  </si>
  <si>
    <t>VLR CONTRATO POR ALUNO</t>
  </si>
  <si>
    <r>
      <t>Complemento para Berçário</t>
    </r>
    <r>
      <rPr>
        <b/>
        <sz val="16"/>
        <color theme="1"/>
        <rFont val="Calibri"/>
        <family val="2"/>
      </rPr>
      <t>→</t>
    </r>
  </si>
  <si>
    <t>FUNÇÃO</t>
  </si>
  <si>
    <t>Horas</t>
  </si>
  <si>
    <t>Qtd.</t>
  </si>
  <si>
    <t>Salário Bruto</t>
  </si>
  <si>
    <t>Encargos</t>
  </si>
  <si>
    <t>Provisão</t>
  </si>
  <si>
    <t>VT</t>
  </si>
  <si>
    <t>ODONTO</t>
  </si>
  <si>
    <t>CUSTO TOTAL</t>
  </si>
  <si>
    <t>DIRETOR</t>
  </si>
  <si>
    <t>COORDENADOR PEDAGÓGICO</t>
  </si>
  <si>
    <t>PROFESSOR DE EDUCAÇÃO INFANTIL</t>
  </si>
  <si>
    <t>PROFESSOR DE EDUCAÇÃO VOLANTE</t>
  </si>
  <si>
    <t>AUXILIAR DE BERÇÁRIO</t>
  </si>
  <si>
    <t>VIGIA</t>
  </si>
  <si>
    <t>AUXILIAR DE MANUTENÇÃO</t>
  </si>
  <si>
    <t>AUXILIAR DE DIRETOR</t>
  </si>
  <si>
    <t>COZINHEIRA</t>
  </si>
  <si>
    <t>AUXILIAR DE COZINHA</t>
  </si>
  <si>
    <t>ASSISTENTE ADMINISTRATIVO</t>
  </si>
  <si>
    <t>AUXILIAR DE LIMPEZA</t>
  </si>
  <si>
    <t>SUBTOTAL</t>
  </si>
  <si>
    <t>_____________________________________________</t>
  </si>
  <si>
    <t>Assinatura do Representante Legal da Organização</t>
  </si>
  <si>
    <t>LOTE 1 - Escola Municipal Maternal Nadir Adolfina Pereira</t>
  </si>
  <si>
    <t>Creche - 2 Turmas = 268 Alunos</t>
  </si>
  <si>
    <t>REMUNERAÇÃO DE PESSOAL</t>
  </si>
  <si>
    <t>Função</t>
  </si>
  <si>
    <t>Carga Horária</t>
  </si>
  <si>
    <t>QTDE</t>
  </si>
  <si>
    <t>Salário Base</t>
  </si>
  <si>
    <t>Adic. Insal.</t>
  </si>
  <si>
    <t>Salários</t>
  </si>
  <si>
    <t>Verbas/Multa recisórias+Provisão+Férias/13º Salário c/ Encargos</t>
  </si>
  <si>
    <t>Total p/ categoria</t>
  </si>
  <si>
    <t>SubTotal</t>
  </si>
  <si>
    <t>Vale Refeição</t>
  </si>
  <si>
    <t>Vale Transporte</t>
  </si>
  <si>
    <t>uniforme</t>
  </si>
  <si>
    <t>Total Geral c/ encargos e provisionamentos</t>
  </si>
  <si>
    <t>FGTS</t>
  </si>
  <si>
    <t>INSS</t>
  </si>
  <si>
    <t>13º SALARIO</t>
  </si>
  <si>
    <t>INSS 13º</t>
  </si>
  <si>
    <t>FGTS 13º</t>
  </si>
  <si>
    <t>FÉRIAS</t>
  </si>
  <si>
    <t>1/3 FÉRIAS</t>
  </si>
  <si>
    <t>INSS FÉRIAS</t>
  </si>
  <si>
    <t>FGTS FÉRIAS</t>
  </si>
  <si>
    <t>AVISO PRÉVIO</t>
  </si>
  <si>
    <t>MULTA FGTS</t>
  </si>
  <si>
    <t>PIS</t>
  </si>
  <si>
    <t>C. Basica</t>
  </si>
  <si>
    <t>Valor</t>
  </si>
  <si>
    <t>Qtde</t>
  </si>
  <si>
    <t>Vl Un</t>
  </si>
  <si>
    <t>TOTAL</t>
  </si>
  <si>
    <t>O</t>
  </si>
  <si>
    <t>S</t>
  </si>
  <si>
    <t>E</t>
  </si>
  <si>
    <t>B</t>
  </si>
  <si>
    <t>PLANO ORÇAMENTÁRIO DE CUSTEIO</t>
  </si>
  <si>
    <t>DESCRIÇÃO</t>
  </si>
  <si>
    <t>Implantação</t>
  </si>
  <si>
    <t>Mês Seguinte</t>
  </si>
  <si>
    <t>01. Pessoal e Reflexo</t>
  </si>
  <si>
    <t>01.01</t>
  </si>
  <si>
    <t>- Remuneração de Pessoal</t>
  </si>
  <si>
    <t>01.02</t>
  </si>
  <si>
    <t>- Beneficios</t>
  </si>
  <si>
    <t>01.03</t>
  </si>
  <si>
    <t>- Encargos e Contribuições</t>
  </si>
  <si>
    <t>01.04</t>
  </si>
  <si>
    <t xml:space="preserve">  Provisão</t>
  </si>
  <si>
    <t>02. Materiais Diversos</t>
  </si>
  <si>
    <t>Descritivo</t>
  </si>
  <si>
    <t>QTD</t>
  </si>
  <si>
    <t>Valor Unit.</t>
  </si>
  <si>
    <t>Aluno</t>
  </si>
  <si>
    <t>04. Despesas Indiretas</t>
  </si>
  <si>
    <t>05. Pequenos Reparos/Material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</si>
  <si>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</si>
  <si>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</si>
  <si>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</si>
  <si>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</si>
  <si>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</si>
  <si>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</si>
  <si>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</si>
  <si>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</si>
  <si>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</si>
  <si>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</si>
  <si>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</si>
  <si>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</si>
  <si>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RECEITAS - TOTAL</t>
  </si>
  <si>
    <t>Total de Repasse Contrato de Gestão</t>
  </si>
  <si>
    <t>Repasse Contrato de Gestão (Custeio)</t>
  </si>
  <si>
    <t>PESSOAL</t>
  </si>
  <si>
    <t>1.</t>
  </si>
  <si>
    <t xml:space="preserve">RECURSOS HUMANOS </t>
  </si>
  <si>
    <t>1.1.</t>
  </si>
  <si>
    <t>Administrativo/Assistencial</t>
  </si>
  <si>
    <t>1.2.</t>
  </si>
  <si>
    <t>Encargos e Contribuições</t>
  </si>
  <si>
    <t>1.3.</t>
  </si>
  <si>
    <t>Benefícios</t>
  </si>
  <si>
    <t>1.4.</t>
  </si>
  <si>
    <t>OPERACIONAL</t>
  </si>
  <si>
    <t>2.</t>
  </si>
  <si>
    <t>MATERIAIS DE CONSUMO</t>
  </si>
  <si>
    <t>2.1.</t>
  </si>
  <si>
    <t>Material de Limpeza / Higiene</t>
  </si>
  <si>
    <t>2.2.</t>
  </si>
  <si>
    <t>Material de Escritório</t>
  </si>
  <si>
    <t>2.3.</t>
  </si>
  <si>
    <t>Material Pedagógico</t>
  </si>
  <si>
    <t>3.</t>
  </si>
  <si>
    <t>SERVIÇOS DE TERCEIROS</t>
  </si>
  <si>
    <t>3.1.</t>
  </si>
  <si>
    <t>Assessoria Contábil / RH</t>
  </si>
  <si>
    <t>4.</t>
  </si>
  <si>
    <t xml:space="preserve">Despesas Indiretas </t>
  </si>
  <si>
    <t>4.1.</t>
  </si>
  <si>
    <t>Concessionárias (Luz, Água, Telefone, Internet...)</t>
  </si>
  <si>
    <t>4.2.</t>
  </si>
  <si>
    <t>Limpeza e Conservação (Dedetização,Desratização, Limpeza Reservatório de Água...)</t>
  </si>
  <si>
    <t>4.3.</t>
  </si>
  <si>
    <t>EPI's, Exames Ocupacionais, Uniformes, Laudos PPRA PCMSO</t>
  </si>
  <si>
    <t>4.4.</t>
  </si>
  <si>
    <t>4.5.</t>
  </si>
  <si>
    <t>Gás</t>
  </si>
  <si>
    <t>4.7.</t>
  </si>
  <si>
    <t>Outros Serviços de Terceiros (Fotocópias, Correios, Chaveiro, Revelação de Fotos, Telegramas, Diversos...)</t>
  </si>
  <si>
    <t>5.</t>
  </si>
  <si>
    <t>Pequenos Reparos / Material</t>
  </si>
  <si>
    <t>5.1.</t>
  </si>
  <si>
    <t>Manutenção e aquisição de Materiais</t>
  </si>
  <si>
    <t>TOTAL DE DESPESAS PESSOAL</t>
  </si>
  <si>
    <t>TOTAL DE DESPESAS OPERACIONAIS</t>
  </si>
  <si>
    <t>TOTAL GERAL DAS DESPESAS (OPERACIONAIS + NÃO OPERACIONAIS)</t>
  </si>
  <si>
    <t>TOTAL GERAL DAS RECEITAS - OPERACIONAIS + NÃO OPERACIONAIS</t>
  </si>
  <si>
    <t>NOME DO RESPONSÁVEL PELA OSC:</t>
  </si>
  <si>
    <t>Maria Rosa Esteves</t>
  </si>
  <si>
    <t>ASSINATURA DO RESPONSÁVEL PELA OSC:</t>
  </si>
  <si>
    <t>DATA: 02/09/2019</t>
  </si>
  <si>
    <t>recrutamento@igeve.com.br</t>
  </si>
  <si>
    <t>Codigo da vaga 01/20</t>
  </si>
  <si>
    <t>LOTE 1 - CEI - IGEVE ALVORADA</t>
  </si>
  <si>
    <t>Creche Período Integral = 134 Alunos (TOTAL)</t>
  </si>
  <si>
    <t>Berçários I e II - 57 Crianças</t>
  </si>
  <si>
    <t>Mini Grupo I e II -  77 Crianças</t>
  </si>
  <si>
    <t>Locação do Imovel + IPTU</t>
  </si>
  <si>
    <t>Merenda (Misturas e Hortifruti)</t>
  </si>
  <si>
    <t>2.4.</t>
  </si>
  <si>
    <t>UNIDADE I</t>
  </si>
  <si>
    <t>UNIDADE II</t>
  </si>
  <si>
    <t>FORNECEDOR</t>
  </si>
  <si>
    <t>THIAGO</t>
  </si>
  <si>
    <t>LOTE 1 - CEI - IGEVE GUAIANASES</t>
  </si>
  <si>
    <t>SEGURO VIDA</t>
  </si>
  <si>
    <t>Salário</t>
  </si>
  <si>
    <t>Repasse Implantação</t>
  </si>
  <si>
    <t>Quantidade</t>
  </si>
  <si>
    <t>Cargo</t>
  </si>
  <si>
    <t>Carga horária</t>
  </si>
  <si>
    <t>Odonto</t>
  </si>
  <si>
    <t>Custo total</t>
  </si>
  <si>
    <t>Seguro de Vida</t>
  </si>
  <si>
    <r>
      <t>ANEXO III –</t>
    </r>
    <r>
      <rPr>
        <sz val="11"/>
        <color theme="1"/>
        <rFont val="Calibri Light"/>
        <family val="2"/>
      </rPr>
      <t xml:space="preserve"> QUADRO GERAL DE RECEITAS E DESPESAS - MENSAL</t>
    </r>
  </si>
  <si>
    <t>TIPO DE DESPESA</t>
  </si>
  <si>
    <t>VALOR PREVISTO – R$</t>
  </si>
  <si>
    <t>Valor Mensal RH com Encargos Sociais e Fundo Provisionado</t>
  </si>
  <si>
    <t>Valor Mensal Concessionarias</t>
  </si>
  <si>
    <t>CEI IGEVE GUAIANASES ALVORADA</t>
  </si>
  <si>
    <t>CEI IGEVE GUAIANASES RABAÇAL</t>
  </si>
  <si>
    <t>Aluguel</t>
  </si>
  <si>
    <t>Contabilidade</t>
  </si>
  <si>
    <t>Aluguel + Iptu</t>
  </si>
  <si>
    <t>Locação de Relogio de Ponto</t>
  </si>
  <si>
    <t>PROFESSOR VOLANTE</t>
  </si>
  <si>
    <t>Provisão 21,57%</t>
  </si>
  <si>
    <t>MEMÓRIA DE CÁLCULO DO RATEIO DE DESPESAS</t>
  </si>
  <si>
    <t>QTD CEI`s DA OSC</t>
  </si>
  <si>
    <t>SALÁRIO</t>
  </si>
  <si>
    <t xml:space="preserve">TOTAL </t>
  </si>
  <si>
    <t>RESPONSABILIDADE DA OSC</t>
  </si>
  <si>
    <t>PROVISÃO 21,57%</t>
  </si>
  <si>
    <t>MELISSA LARA ESTEVES PIRES</t>
  </si>
  <si>
    <t>ADMINISTRADORA</t>
  </si>
  <si>
    <t>UNIDADE</t>
  </si>
  <si>
    <t>COLABORADOR</t>
  </si>
  <si>
    <t>Salário Liquído</t>
  </si>
  <si>
    <t>VLR CONTRATO ANO LOCAÇÃO</t>
  </si>
  <si>
    <t>VLR CONTRATO MÊS LOCAÇÃO</t>
  </si>
  <si>
    <t>Repasse Locação</t>
  </si>
  <si>
    <t>Remuneração Liquída</t>
  </si>
  <si>
    <t>Remuneração Bruto</t>
  </si>
  <si>
    <t>DIFERENÇA</t>
  </si>
  <si>
    <t>CEI - IGEVE CONCHILIA</t>
  </si>
  <si>
    <t>Creche Período Integral = 68 Alunos (TOTAL)</t>
  </si>
  <si>
    <t>Berçários I e II - 23 Crianças</t>
  </si>
  <si>
    <t>Mini Grupo I e II -  45 Crianças</t>
  </si>
  <si>
    <t>02 (DUAS)</t>
  </si>
  <si>
    <t>CEI JARDINÉSIA</t>
  </si>
  <si>
    <t>CEI CONCHILIA</t>
  </si>
  <si>
    <t>3.2.</t>
  </si>
  <si>
    <t>Nutricionista</t>
  </si>
  <si>
    <t>4.6.</t>
  </si>
  <si>
    <t>Locação de Equipamentos T.I.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</si>
</sst>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  <numFmt numFmtId="166" formatCode="0.0%"/>
  </numFmts>
  <fonts count="4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6"/>
      <color theme="1"/>
      <name val="Calibri Light"/>
      <family val="2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rgb="FF221F1F"/>
      <name val="Arial"/>
      <family val="2"/>
    </font>
    <font>
      <sz val="8"/>
      <color theme="1"/>
      <name val="Calibri"/>
      <family val="2"/>
    </font>
    <font>
      <b/>
      <sz val="8"/>
      <color rgb="FF221F1F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rgb="FFFF0000"/>
      <name val="Arial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 tint="0.7999816888943144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F0F1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rgb="FF221F1F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rgb="FF221F1F"/>
      </right>
      <top style="medium">
        <color indexed="64"/>
      </top>
      <bottom style="medium">
        <color indexed="64"/>
      </bottom>
      <diagonal/>
    </border>
    <border>
      <left/>
      <right style="dotted">
        <color rgb="FF221F1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221F1F"/>
      </right>
      <top style="medium">
        <color indexed="64"/>
      </top>
      <bottom style="dotted">
        <color indexed="64"/>
      </bottom>
      <diagonal/>
    </border>
    <border>
      <left/>
      <right style="dotted">
        <color rgb="FF221F1F"/>
      </right>
      <top style="medium">
        <color indexed="64"/>
      </top>
      <bottom style="dotted">
        <color indexed="64"/>
      </bottom>
      <diagonal/>
    </border>
    <border>
      <left style="dotted">
        <color rgb="FF221F1F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rgb="FF221F1F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rgb="FF221F1F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rgb="FF221F1F"/>
      </right>
      <top/>
      <bottom style="dotted">
        <color indexed="64"/>
      </bottom>
      <diagonal/>
    </border>
    <border>
      <left/>
      <right style="dotted">
        <color rgb="FF221F1F"/>
      </right>
      <top/>
      <bottom style="dotted">
        <color indexed="64"/>
      </bottom>
      <diagonal/>
    </border>
    <border>
      <left style="dashed">
        <color indexed="64"/>
      </left>
      <right style="dotted">
        <color rgb="FF221F1F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rgb="FF221F1F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otted">
        <color rgb="FF221F1F"/>
      </right>
      <top style="dashed">
        <color indexed="64"/>
      </top>
      <bottom style="dashed">
        <color indexed="64"/>
      </bottom>
      <diagonal/>
    </border>
  </borders>
  <cellStyleXfs count="63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 applyFont="1" applyBorder="1"/>
    <xf numFmtId="0" fontId="7" fillId="0" borderId="1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vertical="center" wrapText="1"/>
    </xf>
    <xf numFmtId="0" fontId="0" fillId="0" borderId="0" xfId="0" applyFill="1"/>
    <xf numFmtId="164" fontId="0" fillId="0" borderId="0" xfId="0" applyNumberFormat="1" applyFont="1" applyBorder="1"/>
    <xf numFmtId="164" fontId="0" fillId="0" borderId="0" xfId="0" applyNumberFormat="1"/>
    <xf numFmtId="0" fontId="0" fillId="0" borderId="0" xfId="0" applyFont="1" applyBorder="1" applyAlignment="1">
      <alignment horizontal="center"/>
    </xf>
    <xf numFmtId="164" fontId="0" fillId="2" borderId="1" xfId="2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2" applyFont="1" applyFill="1" applyBorder="1"/>
    <xf numFmtId="164" fontId="0" fillId="0" borderId="1" xfId="0" applyNumberFormat="1" applyFill="1" applyBorder="1"/>
    <xf numFmtId="164" fontId="7" fillId="0" borderId="1" xfId="2" applyFont="1" applyBorder="1" applyAlignment="1">
      <alignment vertical="center" wrapText="1"/>
    </xf>
    <xf numFmtId="164" fontId="7" fillId="0" borderId="15" xfId="2" applyFont="1" applyBorder="1" applyAlignment="1">
      <alignment vertical="center" wrapText="1"/>
    </xf>
    <xf numFmtId="165" fontId="0" fillId="0" borderId="1" xfId="1" applyNumberFormat="1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/>
    </xf>
    <xf numFmtId="164" fontId="7" fillId="0" borderId="13" xfId="2" applyFont="1" applyBorder="1" applyAlignment="1">
      <alignment vertical="center" wrapText="1"/>
    </xf>
    <xf numFmtId="164" fontId="7" fillId="0" borderId="16" xfId="2" applyFont="1" applyBorder="1" applyAlignment="1">
      <alignment vertical="center" wrapText="1"/>
    </xf>
    <xf numFmtId="0" fontId="13" fillId="0" borderId="0" xfId="0" applyFont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/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4" fontId="6" fillId="7" borderId="10" xfId="2" applyFont="1" applyFill="1" applyBorder="1" applyAlignment="1">
      <alignment vertical="center" wrapText="1"/>
    </xf>
    <xf numFmtId="164" fontId="6" fillId="7" borderId="11" xfId="2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164" fontId="6" fillId="7" borderId="6" xfId="2" applyFont="1" applyFill="1" applyBorder="1" applyAlignment="1">
      <alignment vertical="center" wrapText="1"/>
    </xf>
    <xf numFmtId="164" fontId="6" fillId="7" borderId="24" xfId="2" applyFont="1" applyFill="1" applyBorder="1" applyAlignment="1">
      <alignment vertical="center" wrapText="1"/>
    </xf>
    <xf numFmtId="164" fontId="6" fillId="7" borderId="17" xfId="2" applyFont="1" applyFill="1" applyBorder="1" applyAlignment="1">
      <alignment vertical="center" wrapText="1"/>
    </xf>
    <xf numFmtId="164" fontId="6" fillId="7" borderId="18" xfId="2" applyFont="1" applyFill="1" applyBorder="1" applyAlignment="1">
      <alignment vertical="center" wrapText="1"/>
    </xf>
    <xf numFmtId="0" fontId="3" fillId="0" borderId="0" xfId="0" applyFont="1" applyBorder="1"/>
    <xf numFmtId="166" fontId="3" fillId="10" borderId="0" xfId="631" applyNumberFormat="1" applyFont="1" applyFill="1"/>
    <xf numFmtId="0" fontId="6" fillId="7" borderId="41" xfId="0" applyFont="1" applyFill="1" applyBorder="1" applyAlignment="1">
      <alignment horizontal="center" vertical="center" wrapText="1"/>
    </xf>
    <xf numFmtId="164" fontId="6" fillId="7" borderId="40" xfId="2" applyFont="1" applyFill="1" applyBorder="1" applyAlignment="1">
      <alignment vertical="center" wrapText="1"/>
    </xf>
    <xf numFmtId="166" fontId="0" fillId="0" borderId="0" xfId="631" applyNumberFormat="1" applyFont="1"/>
    <xf numFmtId="44" fontId="0" fillId="0" borderId="0" xfId="0" applyNumberFormat="1"/>
    <xf numFmtId="44" fontId="0" fillId="0" borderId="0" xfId="0" applyNumberFormat="1" applyFont="1" applyBorder="1"/>
    <xf numFmtId="166" fontId="3" fillId="10" borderId="0" xfId="631" applyNumberFormat="1" applyFont="1" applyFill="1" applyBorder="1"/>
    <xf numFmtId="0" fontId="16" fillId="0" borderId="0" xfId="0" applyFont="1" applyBorder="1"/>
    <xf numFmtId="44" fontId="16" fillId="0" borderId="0" xfId="0" applyNumberFormat="1" applyFont="1" applyBorder="1"/>
    <xf numFmtId="0" fontId="17" fillId="0" borderId="0" xfId="0" applyFont="1" applyBorder="1"/>
    <xf numFmtId="44" fontId="17" fillId="0" borderId="0" xfId="0" applyNumberFormat="1" applyFont="1" applyBorder="1"/>
    <xf numFmtId="164" fontId="3" fillId="0" borderId="0" xfId="2" applyFont="1" applyBorder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Border="1"/>
    <xf numFmtId="0" fontId="18" fillId="0" borderId="0" xfId="0" applyFont="1"/>
    <xf numFmtId="0" fontId="12" fillId="11" borderId="29" xfId="0" applyFont="1" applyFill="1" applyBorder="1" applyAlignment="1">
      <alignment horizontal="center"/>
    </xf>
    <xf numFmtId="43" fontId="12" fillId="11" borderId="6" xfId="1" applyFont="1" applyFill="1" applyBorder="1"/>
    <xf numFmtId="43" fontId="12" fillId="11" borderId="6" xfId="0" applyNumberFormat="1" applyFont="1" applyFill="1" applyBorder="1"/>
    <xf numFmtId="43" fontId="18" fillId="0" borderId="0" xfId="1" applyFont="1"/>
    <xf numFmtId="0" fontId="12" fillId="0" borderId="0" xfId="0" applyFont="1"/>
    <xf numFmtId="43" fontId="18" fillId="0" borderId="0" xfId="0" applyNumberFormat="1" applyFont="1"/>
    <xf numFmtId="0" fontId="18" fillId="0" borderId="0" xfId="0" applyFont="1" applyBorder="1" applyAlignment="1">
      <alignment horizontal="right"/>
    </xf>
    <xf numFmtId="0" fontId="20" fillId="4" borderId="44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43" fontId="20" fillId="4" borderId="10" xfId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164" fontId="18" fillId="0" borderId="1" xfId="2" applyFont="1" applyFill="1" applyBorder="1" applyAlignment="1">
      <alignment horizontal="left"/>
    </xf>
    <xf numFmtId="43" fontId="18" fillId="0" borderId="1" xfId="1" applyFont="1" applyFill="1" applyBorder="1" applyAlignment="1">
      <alignment horizontal="left"/>
    </xf>
    <xf numFmtId="43" fontId="18" fillId="0" borderId="13" xfId="0" applyNumberFormat="1" applyFont="1" applyFill="1" applyBorder="1" applyAlignment="1">
      <alignment horizontal="left"/>
    </xf>
    <xf numFmtId="43" fontId="21" fillId="0" borderId="0" xfId="0" applyNumberFormat="1" applyFont="1" applyFill="1"/>
    <xf numFmtId="0" fontId="18" fillId="0" borderId="0" xfId="0" applyFont="1" applyFill="1"/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164" fontId="18" fillId="0" borderId="8" xfId="2" applyFont="1" applyFill="1" applyBorder="1" applyAlignment="1">
      <alignment horizontal="left"/>
    </xf>
    <xf numFmtId="0" fontId="21" fillId="0" borderId="27" xfId="0" applyFont="1" applyFill="1" applyBorder="1"/>
    <xf numFmtId="0" fontId="20" fillId="3" borderId="1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43" fontId="20" fillId="3" borderId="3" xfId="1" applyFont="1" applyFill="1" applyBorder="1" applyAlignment="1">
      <alignment horizontal="left"/>
    </xf>
    <xf numFmtId="0" fontId="20" fillId="0" borderId="0" xfId="0" applyFont="1"/>
    <xf numFmtId="0" fontId="12" fillId="0" borderId="0" xfId="0" applyFont="1" applyBorder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43" fontId="18" fillId="0" borderId="0" xfId="1" applyFont="1" applyBorder="1"/>
    <xf numFmtId="9" fontId="12" fillId="0" borderId="0" xfId="631" applyFont="1" applyBorder="1"/>
    <xf numFmtId="0" fontId="27" fillId="0" borderId="0" xfId="0" applyFont="1" applyBorder="1" applyAlignment="1">
      <alignment horizontal="left"/>
    </xf>
    <xf numFmtId="0" fontId="29" fillId="6" borderId="7" xfId="0" applyFont="1" applyFill="1" applyBorder="1" applyAlignment="1">
      <alignment horizontal="center" vertical="center"/>
    </xf>
    <xf numFmtId="43" fontId="29" fillId="6" borderId="7" xfId="1" applyFont="1" applyFill="1" applyBorder="1" applyAlignment="1">
      <alignment horizontal="center" vertical="center"/>
    </xf>
    <xf numFmtId="43" fontId="29" fillId="6" borderId="0" xfId="1" applyFont="1" applyFill="1" applyBorder="1" applyAlignment="1">
      <alignment horizontal="center" vertical="center"/>
    </xf>
    <xf numFmtId="43" fontId="25" fillId="0" borderId="1" xfId="0" applyNumberFormat="1" applyFont="1" applyBorder="1"/>
    <xf numFmtId="43" fontId="25" fillId="0" borderId="1" xfId="1" applyFont="1" applyBorder="1"/>
    <xf numFmtId="0" fontId="25" fillId="0" borderId="0" xfId="0" applyFont="1" applyBorder="1"/>
    <xf numFmtId="43" fontId="25" fillId="0" borderId="0" xfId="1" applyFont="1" applyBorder="1"/>
    <xf numFmtId="0" fontId="26" fillId="7" borderId="1" xfId="0" applyFont="1" applyFill="1" applyBorder="1" applyAlignment="1">
      <alignment vertical="center" wrapText="1"/>
    </xf>
    <xf numFmtId="0" fontId="30" fillId="8" borderId="1" xfId="0" applyFont="1" applyFill="1" applyBorder="1" applyAlignment="1">
      <alignment vertical="center" wrapText="1"/>
    </xf>
    <xf numFmtId="43" fontId="30" fillId="8" borderId="1" xfId="0" applyNumberFormat="1" applyFont="1" applyFill="1" applyBorder="1" applyAlignment="1">
      <alignment vertical="center" wrapText="1"/>
    </xf>
    <xf numFmtId="43" fontId="25" fillId="9" borderId="1" xfId="0" applyNumberFormat="1" applyFont="1" applyFill="1" applyBorder="1"/>
    <xf numFmtId="43" fontId="26" fillId="7" borderId="1" xfId="1" applyFont="1" applyFill="1" applyBorder="1" applyAlignment="1">
      <alignment vertical="center" wrapText="1"/>
    </xf>
    <xf numFmtId="43" fontId="26" fillId="7" borderId="1" xfId="0" applyNumberFormat="1" applyFont="1" applyFill="1" applyBorder="1" applyAlignment="1">
      <alignment vertical="center" wrapText="1"/>
    </xf>
    <xf numFmtId="164" fontId="32" fillId="0" borderId="47" xfId="2" applyFont="1" applyFill="1" applyBorder="1" applyAlignment="1">
      <alignment vertical="center" wrapText="1"/>
    </xf>
    <xf numFmtId="164" fontId="32" fillId="0" borderId="48" xfId="2" applyFont="1" applyFill="1" applyBorder="1" applyAlignment="1">
      <alignment vertical="center" wrapText="1"/>
    </xf>
    <xf numFmtId="164" fontId="32" fillId="0" borderId="15" xfId="2" applyFont="1" applyFill="1" applyBorder="1" applyAlignment="1">
      <alignment vertical="center" wrapText="1"/>
    </xf>
    <xf numFmtId="164" fontId="32" fillId="0" borderId="16" xfId="2" applyFont="1" applyFill="1" applyBorder="1" applyAlignment="1">
      <alignment vertical="center" wrapText="1"/>
    </xf>
    <xf numFmtId="0" fontId="33" fillId="0" borderId="0" xfId="0" applyFont="1" applyBorder="1"/>
    <xf numFmtId="0" fontId="34" fillId="0" borderId="0" xfId="0" applyFont="1"/>
    <xf numFmtId="0" fontId="35" fillId="0" borderId="0" xfId="0" applyFont="1"/>
    <xf numFmtId="43" fontId="34" fillId="0" borderId="0" xfId="1" applyFont="1"/>
    <xf numFmtId="0" fontId="33" fillId="0" borderId="0" xfId="0" applyFont="1"/>
    <xf numFmtId="0" fontId="18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/>
    </xf>
    <xf numFmtId="0" fontId="8" fillId="0" borderId="0" xfId="632"/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43" fontId="25" fillId="0" borderId="1" xfId="1" applyFont="1" applyBorder="1" applyAlignment="1">
      <alignment horizontal="center"/>
    </xf>
    <xf numFmtId="0" fontId="22" fillId="0" borderId="5" xfId="0" applyFont="1" applyFill="1" applyBorder="1" applyAlignment="1">
      <alignment horizontal="left"/>
    </xf>
    <xf numFmtId="43" fontId="18" fillId="0" borderId="1" xfId="1" applyFont="1" applyFill="1" applyBorder="1" applyAlignment="1">
      <alignment horizontal="center"/>
    </xf>
    <xf numFmtId="0" fontId="37" fillId="14" borderId="54" xfId="0" applyFont="1" applyFill="1" applyBorder="1" applyAlignment="1">
      <alignment horizontal="center" vertical="center" wrapText="1"/>
    </xf>
    <xf numFmtId="4" fontId="37" fillId="14" borderId="54" xfId="0" applyNumberFormat="1" applyFont="1" applyFill="1" applyBorder="1" applyAlignment="1">
      <alignment horizontal="center" vertical="center" wrapText="1"/>
    </xf>
    <xf numFmtId="0" fontId="36" fillId="13" borderId="55" xfId="0" applyFont="1" applyFill="1" applyBorder="1" applyAlignment="1">
      <alignment horizontal="center" vertical="center" textRotation="90" wrapText="1"/>
    </xf>
    <xf numFmtId="0" fontId="36" fillId="13" borderId="56" xfId="0" applyFont="1" applyFill="1" applyBorder="1" applyAlignment="1">
      <alignment horizontal="center" vertical="center" textRotation="90" wrapText="1"/>
    </xf>
    <xf numFmtId="0" fontId="36" fillId="13" borderId="57" xfId="0" applyFont="1" applyFill="1" applyBorder="1" applyAlignment="1">
      <alignment horizontal="center" vertical="center" textRotation="90" wrapText="1"/>
    </xf>
    <xf numFmtId="0" fontId="37" fillId="14" borderId="58" xfId="0" applyFont="1" applyFill="1" applyBorder="1" applyAlignment="1">
      <alignment horizontal="center" vertical="center" wrapText="1"/>
    </xf>
    <xf numFmtId="0" fontId="37" fillId="14" borderId="59" xfId="0" applyFont="1" applyFill="1" applyBorder="1" applyAlignment="1">
      <alignment horizontal="center" vertical="center" wrapText="1"/>
    </xf>
    <xf numFmtId="4" fontId="37" fillId="14" borderId="59" xfId="0" applyNumberFormat="1" applyFont="1" applyFill="1" applyBorder="1" applyAlignment="1">
      <alignment horizontal="center" vertical="center" wrapText="1"/>
    </xf>
    <xf numFmtId="4" fontId="37" fillId="14" borderId="60" xfId="0" applyNumberFormat="1" applyFont="1" applyFill="1" applyBorder="1" applyAlignment="1">
      <alignment horizontal="center" vertical="center" wrapText="1"/>
    </xf>
    <xf numFmtId="4" fontId="39" fillId="14" borderId="61" xfId="0" applyNumberFormat="1" applyFont="1" applyFill="1" applyBorder="1" applyAlignment="1">
      <alignment horizontal="center" vertical="center" wrapText="1"/>
    </xf>
    <xf numFmtId="0" fontId="37" fillId="14" borderId="62" xfId="0" applyFont="1" applyFill="1" applyBorder="1" applyAlignment="1">
      <alignment horizontal="center" vertical="center" wrapText="1"/>
    </xf>
    <xf numFmtId="4" fontId="39" fillId="14" borderId="63" xfId="0" applyNumberFormat="1" applyFont="1" applyFill="1" applyBorder="1" applyAlignment="1">
      <alignment horizontal="center" vertical="center" wrapText="1"/>
    </xf>
    <xf numFmtId="4" fontId="39" fillId="14" borderId="56" xfId="0" applyNumberFormat="1" applyFont="1" applyFill="1" applyBorder="1" applyAlignment="1">
      <alignment horizontal="center" vertical="center" wrapText="1"/>
    </xf>
    <xf numFmtId="4" fontId="39" fillId="14" borderId="65" xfId="0" applyNumberFormat="1" applyFont="1" applyFill="1" applyBorder="1" applyAlignment="1">
      <alignment horizontal="center" vertical="center" wrapText="1"/>
    </xf>
    <xf numFmtId="4" fontId="39" fillId="14" borderId="57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Border="1"/>
    <xf numFmtId="0" fontId="20" fillId="4" borderId="66" xfId="0" applyFont="1" applyFill="1" applyBorder="1" applyAlignment="1">
      <alignment horizontal="center"/>
    </xf>
    <xf numFmtId="0" fontId="20" fillId="4" borderId="67" xfId="0" applyFont="1" applyFill="1" applyBorder="1" applyAlignment="1">
      <alignment horizontal="center"/>
    </xf>
    <xf numFmtId="43" fontId="20" fillId="4" borderId="67" xfId="1" applyFont="1" applyFill="1" applyBorder="1" applyAlignment="1">
      <alignment horizontal="center"/>
    </xf>
    <xf numFmtId="0" fontId="20" fillId="4" borderId="68" xfId="0" applyFont="1" applyFill="1" applyBorder="1" applyAlignment="1">
      <alignment horizontal="center"/>
    </xf>
    <xf numFmtId="0" fontId="20" fillId="4" borderId="69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164" fontId="18" fillId="0" borderId="10" xfId="2" applyFont="1" applyFill="1" applyBorder="1" applyAlignment="1">
      <alignment horizontal="left"/>
    </xf>
    <xf numFmtId="43" fontId="18" fillId="0" borderId="10" xfId="1" applyFont="1" applyFill="1" applyBorder="1" applyAlignment="1">
      <alignment horizontal="left"/>
    </xf>
    <xf numFmtId="43" fontId="18" fillId="0" borderId="11" xfId="0" applyNumberFormat="1" applyFont="1" applyFill="1" applyBorder="1" applyAlignment="1">
      <alignment horizontal="left"/>
    </xf>
    <xf numFmtId="0" fontId="40" fillId="15" borderId="70" xfId="0" applyFont="1" applyFill="1" applyBorder="1" applyAlignment="1">
      <alignment horizontal="center" vertical="center" wrapText="1"/>
    </xf>
    <xf numFmtId="8" fontId="41" fillId="0" borderId="70" xfId="0" applyNumberFormat="1" applyFont="1" applyBorder="1" applyAlignment="1">
      <alignment horizontal="center" vertical="center" wrapText="1"/>
    </xf>
    <xf numFmtId="8" fontId="40" fillId="12" borderId="57" xfId="0" applyNumberFormat="1" applyFont="1" applyFill="1" applyBorder="1" applyAlignment="1">
      <alignment horizontal="center" vertical="center" wrapText="1"/>
    </xf>
    <xf numFmtId="8" fontId="0" fillId="0" borderId="0" xfId="0" applyNumberFormat="1"/>
    <xf numFmtId="0" fontId="37" fillId="14" borderId="74" xfId="0" applyFont="1" applyFill="1" applyBorder="1" applyAlignment="1">
      <alignment horizontal="center" vertical="center" wrapText="1"/>
    </xf>
    <xf numFmtId="0" fontId="37" fillId="14" borderId="75" xfId="0" applyFont="1" applyFill="1" applyBorder="1" applyAlignment="1">
      <alignment horizontal="center" vertical="center" wrapText="1"/>
    </xf>
    <xf numFmtId="0" fontId="36" fillId="13" borderId="76" xfId="0" applyFont="1" applyFill="1" applyBorder="1" applyAlignment="1">
      <alignment horizontal="center" vertical="center" textRotation="90" wrapText="1"/>
    </xf>
    <xf numFmtId="0" fontId="36" fillId="13" borderId="77" xfId="0" applyFont="1" applyFill="1" applyBorder="1" applyAlignment="1">
      <alignment horizontal="center" vertical="center" textRotation="90" wrapText="1"/>
    </xf>
    <xf numFmtId="4" fontId="37" fillId="14" borderId="75" xfId="0" applyNumberFormat="1" applyFont="1" applyFill="1" applyBorder="1" applyAlignment="1">
      <alignment horizontal="center" vertical="center" wrapText="1"/>
    </xf>
    <xf numFmtId="4" fontId="39" fillId="14" borderId="79" xfId="0" applyNumberFormat="1" applyFont="1" applyFill="1" applyBorder="1" applyAlignment="1">
      <alignment horizontal="center" vertical="center" wrapText="1"/>
    </xf>
    <xf numFmtId="0" fontId="36" fillId="13" borderId="80" xfId="0" applyFont="1" applyFill="1" applyBorder="1" applyAlignment="1">
      <alignment horizontal="center" vertical="center" textRotation="90" wrapText="1"/>
    </xf>
    <xf numFmtId="0" fontId="3" fillId="0" borderId="82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6" fillId="13" borderId="86" xfId="0" applyFont="1" applyFill="1" applyBorder="1" applyAlignment="1">
      <alignment horizontal="center" vertical="center" textRotation="90" wrapText="1"/>
    </xf>
    <xf numFmtId="0" fontId="36" fillId="13" borderId="84" xfId="0" applyFont="1" applyFill="1" applyBorder="1" applyAlignment="1">
      <alignment horizontal="center" vertical="center" textRotation="90" wrapText="1"/>
    </xf>
    <xf numFmtId="9" fontId="18" fillId="0" borderId="0" xfId="0" applyNumberFormat="1" applyFont="1"/>
    <xf numFmtId="0" fontId="12" fillId="11" borderId="29" xfId="0" applyFont="1" applyFill="1" applyBorder="1" applyAlignment="1">
      <alignment horizontal="center" wrapText="1"/>
    </xf>
    <xf numFmtId="43" fontId="37" fillId="14" borderId="59" xfId="1" applyFont="1" applyFill="1" applyBorder="1" applyAlignment="1">
      <alignment horizontal="center" vertical="center" wrapText="1"/>
    </xf>
    <xf numFmtId="43" fontId="37" fillId="14" borderId="54" xfId="1" applyFont="1" applyFill="1" applyBorder="1" applyAlignment="1">
      <alignment horizontal="center" vertical="center" wrapText="1"/>
    </xf>
    <xf numFmtId="164" fontId="42" fillId="7" borderId="40" xfId="2" applyFont="1" applyFill="1" applyBorder="1" applyAlignment="1">
      <alignment vertical="center" wrapText="1"/>
    </xf>
    <xf numFmtId="0" fontId="12" fillId="11" borderId="29" xfId="0" applyFont="1" applyFill="1" applyBorder="1" applyAlignment="1">
      <alignment horizontal="center" vertical="center"/>
    </xf>
    <xf numFmtId="0" fontId="12" fillId="11" borderId="29" xfId="0" applyFont="1" applyFill="1" applyBorder="1" applyAlignment="1">
      <alignment horizontal="center" vertical="center" wrapText="1"/>
    </xf>
    <xf numFmtId="43" fontId="43" fillId="0" borderId="0" xfId="0" applyNumberFormat="1" applyFont="1"/>
    <xf numFmtId="0" fontId="43" fillId="0" borderId="0" xfId="0" applyFont="1"/>
    <xf numFmtId="43" fontId="44" fillId="12" borderId="0" xfId="0" applyNumberFormat="1" applyFont="1" applyFill="1"/>
    <xf numFmtId="10" fontId="23" fillId="10" borderId="0" xfId="631" applyNumberFormat="1" applyFont="1" applyFill="1"/>
    <xf numFmtId="1" fontId="34" fillId="0" borderId="0" xfId="0" applyNumberFormat="1" applyFont="1"/>
    <xf numFmtId="0" fontId="22" fillId="0" borderId="39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12" fillId="11" borderId="2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7" borderId="51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vertical="center" wrapText="1"/>
    </xf>
    <xf numFmtId="0" fontId="6" fillId="7" borderId="43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7" borderId="45" xfId="0" applyFont="1" applyFill="1" applyBorder="1" applyAlignment="1">
      <alignment vertical="center" wrapText="1"/>
    </xf>
    <xf numFmtId="0" fontId="6" fillId="7" borderId="46" xfId="0" applyFont="1" applyFill="1" applyBorder="1" applyAlignment="1">
      <alignment vertical="center" wrapText="1"/>
    </xf>
    <xf numFmtId="0" fontId="6" fillId="7" borderId="53" xfId="0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left" vertical="center" wrapText="1"/>
    </xf>
    <xf numFmtId="43" fontId="26" fillId="7" borderId="2" xfId="1" applyFont="1" applyFill="1" applyBorder="1" applyAlignment="1">
      <alignment horizontal="center" vertical="center" wrapText="1"/>
    </xf>
    <xf numFmtId="43" fontId="26" fillId="7" borderId="3" xfId="1" applyFont="1" applyFill="1" applyBorder="1" applyAlignment="1">
      <alignment horizontal="center" vertical="center" wrapText="1"/>
    </xf>
    <xf numFmtId="43" fontId="26" fillId="7" borderId="4" xfId="1" applyFont="1" applyFill="1" applyBorder="1" applyAlignment="1">
      <alignment horizontal="center" vertical="center" wrapText="1"/>
    </xf>
    <xf numFmtId="0" fontId="29" fillId="6" borderId="34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7" borderId="36" xfId="0" applyFont="1" applyFill="1" applyBorder="1" applyAlignment="1">
      <alignment horizontal="left" vertical="center" wrapText="1"/>
    </xf>
    <xf numFmtId="0" fontId="31" fillId="7" borderId="38" xfId="0" applyFont="1" applyFill="1" applyBorder="1" applyAlignment="1">
      <alignment horizontal="left" vertical="center" wrapText="1"/>
    </xf>
    <xf numFmtId="0" fontId="31" fillId="7" borderId="39" xfId="0" applyFont="1" applyFill="1" applyBorder="1" applyAlignment="1">
      <alignment horizontal="left" vertical="center" wrapText="1"/>
    </xf>
    <xf numFmtId="0" fontId="31" fillId="7" borderId="27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38" fillId="14" borderId="41" xfId="0" applyFont="1" applyFill="1" applyBorder="1" applyAlignment="1">
      <alignment horizontal="center" vertical="center" wrapText="1"/>
    </xf>
    <xf numFmtId="0" fontId="38" fillId="14" borderId="64" xfId="0" applyFont="1" applyFill="1" applyBorder="1" applyAlignment="1">
      <alignment horizontal="center" vertical="center" wrapText="1"/>
    </xf>
    <xf numFmtId="0" fontId="38" fillId="14" borderId="56" xfId="0" applyFont="1" applyFill="1" applyBorder="1" applyAlignment="1">
      <alignment horizontal="center" vertical="center" wrapText="1"/>
    </xf>
    <xf numFmtId="0" fontId="40" fillId="12" borderId="41" xfId="0" applyFont="1" applyFill="1" applyBorder="1" applyAlignment="1">
      <alignment horizontal="center" vertical="center" wrapText="1"/>
    </xf>
    <xf numFmtId="0" fontId="40" fillId="12" borderId="57" xfId="0" applyFont="1" applyFill="1" applyBorder="1" applyAlignment="1">
      <alignment horizontal="center" vertical="center" wrapText="1"/>
    </xf>
    <xf numFmtId="0" fontId="3" fillId="16" borderId="71" xfId="0" applyFont="1" applyFill="1" applyBorder="1" applyAlignment="1">
      <alignment horizontal="center" vertical="center" wrapText="1"/>
    </xf>
    <xf numFmtId="0" fontId="3" fillId="16" borderId="73" xfId="0" applyFont="1" applyFill="1" applyBorder="1" applyAlignment="1">
      <alignment horizontal="center" vertical="center" wrapText="1"/>
    </xf>
    <xf numFmtId="0" fontId="3" fillId="16" borderId="72" xfId="0" applyFont="1" applyFill="1" applyBorder="1" applyAlignment="1">
      <alignment horizontal="center" vertical="center" wrapText="1"/>
    </xf>
    <xf numFmtId="0" fontId="3" fillId="16" borderId="49" xfId="0" applyFont="1" applyFill="1" applyBorder="1" applyAlignment="1">
      <alignment horizontal="center" vertical="center" wrapText="1"/>
    </xf>
    <xf numFmtId="0" fontId="3" fillId="16" borderId="52" xfId="0" applyFont="1" applyFill="1" applyBorder="1" applyAlignment="1">
      <alignment horizontal="center" vertical="center" wrapText="1"/>
    </xf>
    <xf numFmtId="0" fontId="3" fillId="16" borderId="70" xfId="0" applyFont="1" applyFill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15" borderId="41" xfId="0" applyFont="1" applyFill="1" applyBorder="1" applyAlignment="1">
      <alignment horizontal="center" vertical="center" wrapText="1"/>
    </xf>
    <xf numFmtId="0" fontId="40" fillId="15" borderId="57" xfId="0" applyFont="1" applyFill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3" fillId="17" borderId="71" xfId="0" applyFont="1" applyFill="1" applyBorder="1" applyAlignment="1">
      <alignment horizontal="center" vertical="center"/>
    </xf>
    <xf numFmtId="0" fontId="3" fillId="17" borderId="73" xfId="0" applyFont="1" applyFill="1" applyBorder="1" applyAlignment="1">
      <alignment horizontal="center" vertical="center"/>
    </xf>
    <xf numFmtId="0" fontId="3" fillId="17" borderId="72" xfId="0" applyFont="1" applyFill="1" applyBorder="1" applyAlignment="1">
      <alignment horizontal="center" vertical="center"/>
    </xf>
    <xf numFmtId="0" fontId="3" fillId="17" borderId="33" xfId="0" applyFont="1" applyFill="1" applyBorder="1" applyAlignment="1">
      <alignment horizontal="center" vertical="center"/>
    </xf>
    <xf numFmtId="0" fontId="3" fillId="17" borderId="0" xfId="0" applyFont="1" applyFill="1" applyBorder="1" applyAlignment="1">
      <alignment horizontal="center" vertical="center"/>
    </xf>
    <xf numFmtId="0" fontId="3" fillId="17" borderId="78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</cellXfs>
  <cellStyles count="633">
    <cellStyle name="Hiperlink" xfId="65" builtinId="8" hidden="1"/>
    <cellStyle name="Hiperlink" xfId="69" builtinId="8" hidden="1"/>
    <cellStyle name="Hiperlink" xfId="73" builtinId="8" hidden="1"/>
    <cellStyle name="Hiperlink" xfId="77" builtinId="8" hidden="1"/>
    <cellStyle name="Hiperlink" xfId="81" builtinId="8" hidden="1"/>
    <cellStyle name="Hiperlink" xfId="85" builtinId="8" hidden="1"/>
    <cellStyle name="Hiperlink" xfId="89" builtinId="8" hidden="1"/>
    <cellStyle name="Hiperlink" xfId="93" builtinId="8" hidden="1"/>
    <cellStyle name="Hiperlink" xfId="97" builtinId="8" hidden="1"/>
    <cellStyle name="Hiperlink" xfId="101" builtinId="8" hidden="1"/>
    <cellStyle name="Hiperlink" xfId="105" builtinId="8" hidden="1"/>
    <cellStyle name="Hiperlink" xfId="109" builtinId="8" hidden="1"/>
    <cellStyle name="Hiperlink" xfId="113" builtinId="8" hidden="1"/>
    <cellStyle name="Hiperlink" xfId="117" builtinId="8" hidden="1"/>
    <cellStyle name="Hiperlink" xfId="121" builtinId="8" hidden="1"/>
    <cellStyle name="Hiperlink" xfId="125" builtinId="8" hidden="1"/>
    <cellStyle name="Hiperlink" xfId="129" builtinId="8" hidden="1"/>
    <cellStyle name="Hiperlink" xfId="133" builtinId="8" hidden="1"/>
    <cellStyle name="Hiperlink" xfId="137" builtinId="8" hidden="1"/>
    <cellStyle name="Hiperlink" xfId="141" builtinId="8" hidden="1"/>
    <cellStyle name="Hiperlink" xfId="145" builtinId="8" hidden="1"/>
    <cellStyle name="Hiperlink" xfId="149" builtinId="8" hidden="1"/>
    <cellStyle name="Hiperlink" xfId="153" builtinId="8" hidden="1"/>
    <cellStyle name="Hiperlink" xfId="157" builtinId="8" hidden="1"/>
    <cellStyle name="Hiperlink" xfId="161" builtinId="8" hidden="1"/>
    <cellStyle name="Hiperlink" xfId="165" builtinId="8" hidden="1"/>
    <cellStyle name="Hiperlink" xfId="169" builtinId="8" hidden="1"/>
    <cellStyle name="Hiperlink" xfId="173" builtinId="8" hidden="1"/>
    <cellStyle name="Hiperlink" xfId="177" builtinId="8" hidden="1"/>
    <cellStyle name="Hiperlink" xfId="181" builtinId="8" hidden="1"/>
    <cellStyle name="Hiperlink" xfId="185" builtinId="8" hidden="1"/>
    <cellStyle name="Hiperlink" xfId="189" builtinId="8" hidden="1"/>
    <cellStyle name="Hiperlink" xfId="193" builtinId="8" hidden="1"/>
    <cellStyle name="Hiperlink" xfId="197" builtinId="8" hidden="1"/>
    <cellStyle name="Hiperlink" xfId="201" builtinId="8" hidden="1"/>
    <cellStyle name="Hiperlink" xfId="205" builtinId="8" hidden="1"/>
    <cellStyle name="Hiperlink" xfId="209" builtinId="8" hidden="1"/>
    <cellStyle name="Hiperlink" xfId="213" builtinId="8" hidden="1"/>
    <cellStyle name="Hiperlink" xfId="217" builtinId="8" hidden="1"/>
    <cellStyle name="Hiperlink" xfId="221" builtinId="8" hidden="1"/>
    <cellStyle name="Hiperlink" xfId="225" builtinId="8" hidden="1"/>
    <cellStyle name="Hiperlink" xfId="229" builtinId="8" hidden="1"/>
    <cellStyle name="Hiperlink" xfId="233" builtinId="8" hidden="1"/>
    <cellStyle name="Hiperlink" xfId="237" builtinId="8" hidden="1"/>
    <cellStyle name="Hiperlink" xfId="241" builtinId="8" hidden="1"/>
    <cellStyle name="Hiperlink" xfId="245" builtinId="8" hidden="1"/>
    <cellStyle name="Hiperlink" xfId="249" builtinId="8" hidden="1"/>
    <cellStyle name="Hiperlink" xfId="253" builtinId="8" hidden="1"/>
    <cellStyle name="Hiperlink" xfId="257" builtinId="8" hidden="1"/>
    <cellStyle name="Hiperlink" xfId="261" builtinId="8" hidden="1"/>
    <cellStyle name="Hiperlink" xfId="265" builtinId="8" hidden="1"/>
    <cellStyle name="Hiperlink" xfId="269" builtinId="8" hidden="1"/>
    <cellStyle name="Hiperlink" xfId="273" builtinId="8" hidden="1"/>
    <cellStyle name="Hiperlink" xfId="277" builtinId="8" hidden="1"/>
    <cellStyle name="Hiperlink" xfId="281" builtinId="8" hidden="1"/>
    <cellStyle name="Hiperlink" xfId="285" builtinId="8" hidden="1"/>
    <cellStyle name="Hiperlink" xfId="289" builtinId="8" hidden="1"/>
    <cellStyle name="Hiperlink" xfId="293" builtinId="8" hidden="1"/>
    <cellStyle name="Hiperlink" xfId="297" builtinId="8" hidden="1"/>
    <cellStyle name="Hiperlink" xfId="301" builtinId="8" hidden="1"/>
    <cellStyle name="Hiperlink" xfId="305" builtinId="8" hidden="1"/>
    <cellStyle name="Hiperlink" xfId="309" builtinId="8" hidden="1"/>
    <cellStyle name="Hiperlink" xfId="313" builtinId="8" hidden="1"/>
    <cellStyle name="Hiperlink" xfId="317" builtinId="8" hidden="1"/>
    <cellStyle name="Hiperlink" xfId="321" builtinId="8" hidden="1"/>
    <cellStyle name="Hiperlink" xfId="325" builtinId="8" hidden="1"/>
    <cellStyle name="Hiperlink" xfId="329" builtinId="8" hidden="1"/>
    <cellStyle name="Hiperlink" xfId="333" builtinId="8" hidden="1"/>
    <cellStyle name="Hiperlink" xfId="337" builtinId="8" hidden="1"/>
    <cellStyle name="Hiperlink" xfId="341" builtinId="8" hidden="1"/>
    <cellStyle name="Hiperlink" xfId="345" builtinId="8" hidden="1"/>
    <cellStyle name="Hiperlink" xfId="349" builtinId="8" hidden="1"/>
    <cellStyle name="Hiperlink" xfId="353" builtinId="8" hidden="1"/>
    <cellStyle name="Hiperlink" xfId="357" builtinId="8" hidden="1"/>
    <cellStyle name="Hiperlink" xfId="361" builtinId="8" hidden="1"/>
    <cellStyle name="Hiperlink" xfId="365" builtinId="8" hidden="1"/>
    <cellStyle name="Hiperlink" xfId="369" builtinId="8" hidden="1"/>
    <cellStyle name="Hiperlink" xfId="373" builtinId="8" hidden="1"/>
    <cellStyle name="Hiperlink" xfId="377" builtinId="8" hidden="1"/>
    <cellStyle name="Hiperlink" xfId="381" builtinId="8" hidden="1"/>
    <cellStyle name="Hiperlink" xfId="385" builtinId="8" hidden="1"/>
    <cellStyle name="Hiperlink" xfId="389" builtinId="8" hidden="1"/>
    <cellStyle name="Hiperlink" xfId="393" builtinId="8" hidden="1"/>
    <cellStyle name="Hiperlink" xfId="397" builtinId="8" hidden="1"/>
    <cellStyle name="Hiperlink" xfId="401" builtinId="8" hidden="1"/>
    <cellStyle name="Hiperlink" xfId="405" builtinId="8" hidden="1"/>
    <cellStyle name="Hiperlink" xfId="409" builtinId="8" hidden="1"/>
    <cellStyle name="Hiperlink" xfId="413" builtinId="8" hidden="1"/>
    <cellStyle name="Hiperlink" xfId="417" builtinId="8" hidden="1"/>
    <cellStyle name="Hiperlink" xfId="421" builtinId="8" hidden="1"/>
    <cellStyle name="Hiperlink" xfId="425" builtinId="8" hidden="1"/>
    <cellStyle name="Hiperlink" xfId="429" builtinId="8" hidden="1"/>
    <cellStyle name="Hiperlink" xfId="433" builtinId="8" hidden="1"/>
    <cellStyle name="Hiperlink" xfId="437" builtinId="8" hidden="1"/>
    <cellStyle name="Hiperlink" xfId="441" builtinId="8" hidden="1"/>
    <cellStyle name="Hiperlink" xfId="445" builtinId="8" hidden="1"/>
    <cellStyle name="Hiperlink" xfId="449" builtinId="8" hidden="1"/>
    <cellStyle name="Hiperlink" xfId="453" builtinId="8" hidden="1"/>
    <cellStyle name="Hiperlink" xfId="457" builtinId="8" hidden="1"/>
    <cellStyle name="Hiperlink" xfId="461" builtinId="8" hidden="1"/>
    <cellStyle name="Hiperlink" xfId="465" builtinId="8" hidden="1"/>
    <cellStyle name="Hiperlink" xfId="469" builtinId="8" hidden="1"/>
    <cellStyle name="Hiperlink" xfId="473" builtinId="8" hidden="1"/>
    <cellStyle name="Hiperlink" xfId="477" builtinId="8" hidden="1"/>
    <cellStyle name="Hiperlink" xfId="481" builtinId="8" hidden="1"/>
    <cellStyle name="Hiperlink" xfId="485" builtinId="8" hidden="1"/>
    <cellStyle name="Hiperlink" xfId="489" builtinId="8" hidden="1"/>
    <cellStyle name="Hiperlink" xfId="493" builtinId="8" hidden="1"/>
    <cellStyle name="Hiperlink" xfId="497" builtinId="8" hidden="1"/>
    <cellStyle name="Hiperlink" xfId="501" builtinId="8" hidden="1"/>
    <cellStyle name="Hiperlink" xfId="505" builtinId="8" hidden="1"/>
    <cellStyle name="Hiperlink" xfId="509" builtinId="8" hidden="1"/>
    <cellStyle name="Hiperlink" xfId="513" builtinId="8" hidden="1"/>
    <cellStyle name="Hiperlink" xfId="517" builtinId="8" hidden="1"/>
    <cellStyle name="Hiperlink" xfId="521" builtinId="8" hidden="1"/>
    <cellStyle name="Hiperlink" xfId="525" builtinId="8" hidden="1"/>
    <cellStyle name="Hiperlink" xfId="529" builtinId="8" hidden="1"/>
    <cellStyle name="Hiperlink" xfId="533" builtinId="8" hidden="1"/>
    <cellStyle name="Hiperlink" xfId="537" builtinId="8" hidden="1"/>
    <cellStyle name="Hiperlink" xfId="541" builtinId="8" hidden="1"/>
    <cellStyle name="Hiperlink" xfId="545" builtinId="8" hidden="1"/>
    <cellStyle name="Hiperlink" xfId="549" builtinId="8" hidden="1"/>
    <cellStyle name="Hiperlink" xfId="553" builtinId="8" hidden="1"/>
    <cellStyle name="Hiperlink" xfId="557" builtinId="8" hidden="1"/>
    <cellStyle name="Hiperlink" xfId="561" builtinId="8" hidden="1"/>
    <cellStyle name="Hiperlink" xfId="565" builtinId="8" hidden="1"/>
    <cellStyle name="Hiperlink" xfId="569" builtinId="8" hidden="1"/>
    <cellStyle name="Hiperlink" xfId="573" builtinId="8" hidden="1"/>
    <cellStyle name="Hiperlink" xfId="577" builtinId="8" hidden="1"/>
    <cellStyle name="Hiperlink" xfId="581" builtinId="8" hidden="1"/>
    <cellStyle name="Hiperlink" xfId="585" builtinId="8" hidden="1"/>
    <cellStyle name="Hiperlink" xfId="589" builtinId="8" hidden="1"/>
    <cellStyle name="Hiperlink" xfId="593" builtinId="8" hidden="1"/>
    <cellStyle name="Hiperlink" xfId="597" builtinId="8" hidden="1"/>
    <cellStyle name="Hiperlink" xfId="601" builtinId="8" hidden="1"/>
    <cellStyle name="Hiperlink" xfId="605" builtinId="8" hidden="1"/>
    <cellStyle name="Hiperlink" xfId="609" builtinId="8" hidden="1"/>
    <cellStyle name="Hiperlink" xfId="613" builtinId="8" hidden="1"/>
    <cellStyle name="Hiperlink" xfId="617" builtinId="8" hidden="1"/>
    <cellStyle name="Hiperlink" xfId="621" builtinId="8" hidden="1"/>
    <cellStyle name="Hiperlink" xfId="625" builtinId="8" hidden="1"/>
    <cellStyle name="Hiperlink" xfId="629" builtinId="8" hidden="1"/>
    <cellStyle name="Hiperlink" xfId="627" builtinId="8" hidden="1"/>
    <cellStyle name="Hiperlink" xfId="623" builtinId="8" hidden="1"/>
    <cellStyle name="Hiperlink" xfId="619" builtinId="8" hidden="1"/>
    <cellStyle name="Hiperlink" xfId="615" builtinId="8" hidden="1"/>
    <cellStyle name="Hiperlink" xfId="611" builtinId="8" hidden="1"/>
    <cellStyle name="Hiperlink" xfId="607" builtinId="8" hidden="1"/>
    <cellStyle name="Hiperlink" xfId="603" builtinId="8" hidden="1"/>
    <cellStyle name="Hiperlink" xfId="599" builtinId="8" hidden="1"/>
    <cellStyle name="Hiperlink" xfId="595" builtinId="8" hidden="1"/>
    <cellStyle name="Hiperlink" xfId="591" builtinId="8" hidden="1"/>
    <cellStyle name="Hiperlink" xfId="587" builtinId="8" hidden="1"/>
    <cellStyle name="Hiperlink" xfId="583" builtinId="8" hidden="1"/>
    <cellStyle name="Hiperlink" xfId="579" builtinId="8" hidden="1"/>
    <cellStyle name="Hiperlink" xfId="575" builtinId="8" hidden="1"/>
    <cellStyle name="Hiperlink" xfId="571" builtinId="8" hidden="1"/>
    <cellStyle name="Hiperlink" xfId="567" builtinId="8" hidden="1"/>
    <cellStyle name="Hiperlink" xfId="563" builtinId="8" hidden="1"/>
    <cellStyle name="Hiperlink" xfId="559" builtinId="8" hidden="1"/>
    <cellStyle name="Hiperlink" xfId="555" builtinId="8" hidden="1"/>
    <cellStyle name="Hiperlink" xfId="551" builtinId="8" hidden="1"/>
    <cellStyle name="Hiperlink" xfId="547" builtinId="8" hidden="1"/>
    <cellStyle name="Hiperlink" xfId="543" builtinId="8" hidden="1"/>
    <cellStyle name="Hiperlink" xfId="539" builtinId="8" hidden="1"/>
    <cellStyle name="Hiperlink" xfId="535" builtinId="8" hidden="1"/>
    <cellStyle name="Hiperlink" xfId="531" builtinId="8" hidden="1"/>
    <cellStyle name="Hiperlink" xfId="527" builtinId="8" hidden="1"/>
    <cellStyle name="Hiperlink" xfId="523" builtinId="8" hidden="1"/>
    <cellStyle name="Hiperlink" xfId="519" builtinId="8" hidden="1"/>
    <cellStyle name="Hiperlink" xfId="515" builtinId="8" hidden="1"/>
    <cellStyle name="Hiperlink" xfId="511" builtinId="8" hidden="1"/>
    <cellStyle name="Hiperlink" xfId="507" builtinId="8" hidden="1"/>
    <cellStyle name="Hiperlink" xfId="503" builtinId="8" hidden="1"/>
    <cellStyle name="Hiperlink" xfId="499" builtinId="8" hidden="1"/>
    <cellStyle name="Hiperlink" xfId="495" builtinId="8" hidden="1"/>
    <cellStyle name="Hiperlink" xfId="491" builtinId="8" hidden="1"/>
    <cellStyle name="Hiperlink" xfId="487" builtinId="8" hidden="1"/>
    <cellStyle name="Hiperlink" xfId="483" builtinId="8" hidden="1"/>
    <cellStyle name="Hiperlink" xfId="479" builtinId="8" hidden="1"/>
    <cellStyle name="Hiperlink" xfId="475" builtinId="8" hidden="1"/>
    <cellStyle name="Hiperlink" xfId="471" builtinId="8" hidden="1"/>
    <cellStyle name="Hiperlink" xfId="467" builtinId="8" hidden="1"/>
    <cellStyle name="Hiperlink" xfId="463" builtinId="8" hidden="1"/>
    <cellStyle name="Hiperlink" xfId="459" builtinId="8" hidden="1"/>
    <cellStyle name="Hiperlink" xfId="455" builtinId="8" hidden="1"/>
    <cellStyle name="Hiperlink" xfId="451" builtinId="8" hidden="1"/>
    <cellStyle name="Hiperlink" xfId="447" builtinId="8" hidden="1"/>
    <cellStyle name="Hiperlink" xfId="443" builtinId="8" hidden="1"/>
    <cellStyle name="Hiperlink" xfId="439" builtinId="8" hidden="1"/>
    <cellStyle name="Hiperlink" xfId="435" builtinId="8" hidden="1"/>
    <cellStyle name="Hiperlink" xfId="431" builtinId="8" hidden="1"/>
    <cellStyle name="Hiperlink" xfId="427" builtinId="8" hidden="1"/>
    <cellStyle name="Hiperlink" xfId="423" builtinId="8" hidden="1"/>
    <cellStyle name="Hiperlink" xfId="419" builtinId="8" hidden="1"/>
    <cellStyle name="Hiperlink" xfId="415" builtinId="8" hidden="1"/>
    <cellStyle name="Hiperlink" xfId="411" builtinId="8" hidden="1"/>
    <cellStyle name="Hiperlink" xfId="407" builtinId="8" hidden="1"/>
    <cellStyle name="Hiperlink" xfId="403" builtinId="8" hidden="1"/>
    <cellStyle name="Hiperlink" xfId="399" builtinId="8" hidden="1"/>
    <cellStyle name="Hiperlink" xfId="395" builtinId="8" hidden="1"/>
    <cellStyle name="Hiperlink" xfId="391" builtinId="8" hidden="1"/>
    <cellStyle name="Hiperlink" xfId="387" builtinId="8" hidden="1"/>
    <cellStyle name="Hiperlink" xfId="383" builtinId="8" hidden="1"/>
    <cellStyle name="Hiperlink" xfId="379" builtinId="8" hidden="1"/>
    <cellStyle name="Hiperlink" xfId="375" builtinId="8" hidden="1"/>
    <cellStyle name="Hiperlink" xfId="371" builtinId="8" hidden="1"/>
    <cellStyle name="Hiperlink" xfId="367" builtinId="8" hidden="1"/>
    <cellStyle name="Hiperlink" xfId="363" builtinId="8" hidden="1"/>
    <cellStyle name="Hiperlink" xfId="359" builtinId="8" hidden="1"/>
    <cellStyle name="Hiperlink" xfId="355" builtinId="8" hidden="1"/>
    <cellStyle name="Hiperlink" xfId="351" builtinId="8" hidden="1"/>
    <cellStyle name="Hiperlink" xfId="347" builtinId="8" hidden="1"/>
    <cellStyle name="Hiperlink" xfId="343" builtinId="8" hidden="1"/>
    <cellStyle name="Hiperlink" xfId="339" builtinId="8" hidden="1"/>
    <cellStyle name="Hiperlink" xfId="335" builtinId="8" hidden="1"/>
    <cellStyle name="Hiperlink" xfId="331" builtinId="8" hidden="1"/>
    <cellStyle name="Hiperlink" xfId="327" builtinId="8" hidden="1"/>
    <cellStyle name="Hiperlink" xfId="323" builtinId="8" hidden="1"/>
    <cellStyle name="Hiperlink" xfId="319" builtinId="8" hidden="1"/>
    <cellStyle name="Hiperlink" xfId="315" builtinId="8" hidden="1"/>
    <cellStyle name="Hiperlink" xfId="311" builtinId="8" hidden="1"/>
    <cellStyle name="Hiperlink" xfId="307" builtinId="8" hidden="1"/>
    <cellStyle name="Hiperlink" xfId="303" builtinId="8" hidden="1"/>
    <cellStyle name="Hiperlink" xfId="299" builtinId="8" hidden="1"/>
    <cellStyle name="Hiperlink" xfId="295" builtinId="8" hidden="1"/>
    <cellStyle name="Hiperlink" xfId="291" builtinId="8" hidden="1"/>
    <cellStyle name="Hiperlink" xfId="287" builtinId="8" hidden="1"/>
    <cellStyle name="Hiperlink" xfId="283" builtinId="8" hidden="1"/>
    <cellStyle name="Hiperlink" xfId="279" builtinId="8" hidden="1"/>
    <cellStyle name="Hiperlink" xfId="275" builtinId="8" hidden="1"/>
    <cellStyle name="Hiperlink" xfId="271" builtinId="8" hidden="1"/>
    <cellStyle name="Hiperlink" xfId="267" builtinId="8" hidden="1"/>
    <cellStyle name="Hiperlink" xfId="263" builtinId="8" hidden="1"/>
    <cellStyle name="Hiperlink" xfId="259" builtinId="8" hidden="1"/>
    <cellStyle name="Hiperlink" xfId="255" builtinId="8" hidden="1"/>
    <cellStyle name="Hiperlink" xfId="251" builtinId="8" hidden="1"/>
    <cellStyle name="Hiperlink" xfId="247" builtinId="8" hidden="1"/>
    <cellStyle name="Hiperlink" xfId="243" builtinId="8" hidden="1"/>
    <cellStyle name="Hiperlink" xfId="239" builtinId="8" hidden="1"/>
    <cellStyle name="Hiperlink" xfId="235" builtinId="8" hidden="1"/>
    <cellStyle name="Hiperlink" xfId="231" builtinId="8" hidden="1"/>
    <cellStyle name="Hiperlink" xfId="227" builtinId="8" hidden="1"/>
    <cellStyle name="Hiperlink" xfId="223" builtinId="8" hidden="1"/>
    <cellStyle name="Hiperlink" xfId="219" builtinId="8" hidden="1"/>
    <cellStyle name="Hiperlink" xfId="215" builtinId="8" hidden="1"/>
    <cellStyle name="Hiperlink" xfId="211" builtinId="8" hidden="1"/>
    <cellStyle name="Hiperlink" xfId="207" builtinId="8" hidden="1"/>
    <cellStyle name="Hiperlink" xfId="203" builtinId="8" hidden="1"/>
    <cellStyle name="Hiperlink" xfId="199" builtinId="8" hidden="1"/>
    <cellStyle name="Hiperlink" xfId="195" builtinId="8" hidden="1"/>
    <cellStyle name="Hiperlink" xfId="191" builtinId="8" hidden="1"/>
    <cellStyle name="Hiperlink" xfId="187" builtinId="8" hidden="1"/>
    <cellStyle name="Hiperlink" xfId="183" builtinId="8" hidden="1"/>
    <cellStyle name="Hiperlink" xfId="179" builtinId="8" hidden="1"/>
    <cellStyle name="Hiperlink" xfId="175" builtinId="8" hidden="1"/>
    <cellStyle name="Hiperlink" xfId="171" builtinId="8" hidden="1"/>
    <cellStyle name="Hiperlink" xfId="167" builtinId="8" hidden="1"/>
    <cellStyle name="Hiperlink" xfId="163" builtinId="8" hidden="1"/>
    <cellStyle name="Hiperlink" xfId="159" builtinId="8" hidden="1"/>
    <cellStyle name="Hiperlink" xfId="155" builtinId="8" hidden="1"/>
    <cellStyle name="Hiperlink" xfId="151" builtinId="8" hidden="1"/>
    <cellStyle name="Hiperlink" xfId="147" builtinId="8" hidden="1"/>
    <cellStyle name="Hiperlink" xfId="143" builtinId="8" hidden="1"/>
    <cellStyle name="Hiperlink" xfId="139" builtinId="8" hidden="1"/>
    <cellStyle name="Hiperlink" xfId="135" builtinId="8" hidden="1"/>
    <cellStyle name="Hiperlink" xfId="131" builtinId="8" hidden="1"/>
    <cellStyle name="Hiperlink" xfId="127" builtinId="8" hidden="1"/>
    <cellStyle name="Hiperlink" xfId="123" builtinId="8" hidden="1"/>
    <cellStyle name="Hiperlink" xfId="119" builtinId="8" hidden="1"/>
    <cellStyle name="Hiperlink" xfId="115" builtinId="8" hidden="1"/>
    <cellStyle name="Hiperlink" xfId="111" builtinId="8" hidden="1"/>
    <cellStyle name="Hiperlink" xfId="107" builtinId="8" hidden="1"/>
    <cellStyle name="Hiperlink" xfId="103" builtinId="8" hidden="1"/>
    <cellStyle name="Hiperlink" xfId="99" builtinId="8" hidden="1"/>
    <cellStyle name="Hiperlink" xfId="95" builtinId="8" hidden="1"/>
    <cellStyle name="Hiperlink" xfId="91" builtinId="8" hidden="1"/>
    <cellStyle name="Hiperlink" xfId="87" builtinId="8" hidden="1"/>
    <cellStyle name="Hiperlink" xfId="83" builtinId="8" hidden="1"/>
    <cellStyle name="Hiperlink" xfId="79" builtinId="8" hidden="1"/>
    <cellStyle name="Hiperlink" xfId="75" builtinId="8" hidden="1"/>
    <cellStyle name="Hiperlink" xfId="71" builtinId="8" hidden="1"/>
    <cellStyle name="Hiperlink" xfId="67" builtinId="8" hidden="1"/>
    <cellStyle name="Hiperlink" xfId="63" builtinId="8" hidden="1"/>
    <cellStyle name="Hiperlink" xfId="23" builtinId="8" hidden="1"/>
    <cellStyle name="Hiperlink" xfId="25" builtinId="8" hidden="1"/>
    <cellStyle name="Hiperlink" xfId="29" builtinId="8" hidden="1"/>
    <cellStyle name="Hiperlink" xfId="31" builtinId="8" hidden="1"/>
    <cellStyle name="Hiperlink" xfId="33" builtinId="8" hidden="1"/>
    <cellStyle name="Hiperlink" xfId="37" builtinId="8" hidden="1"/>
    <cellStyle name="Hiperlink" xfId="39" builtinId="8" hidden="1"/>
    <cellStyle name="Hiperlink" xfId="41" builtinId="8" hidden="1"/>
    <cellStyle name="Hiperlink" xfId="45" builtinId="8" hidden="1"/>
    <cellStyle name="Hiperlink" xfId="47" builtinId="8" hidden="1"/>
    <cellStyle name="Hiperlink" xfId="49" builtinId="8" hidden="1"/>
    <cellStyle name="Hiperlink" xfId="53" builtinId="8" hidden="1"/>
    <cellStyle name="Hiperlink" xfId="55" builtinId="8" hidden="1"/>
    <cellStyle name="Hiperlink" xfId="57" builtinId="8" hidden="1"/>
    <cellStyle name="Hiperlink" xfId="61" builtinId="8" hidden="1"/>
    <cellStyle name="Hiperlink" xfId="59" builtinId="8" hidden="1"/>
    <cellStyle name="Hiperlink" xfId="51" builtinId="8" hidden="1"/>
    <cellStyle name="Hiperlink" xfId="43" builtinId="8" hidden="1"/>
    <cellStyle name="Hiperlink" xfId="35" builtinId="8" hidden="1"/>
    <cellStyle name="Hiperlink" xfId="27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21" builtinId="8" hidden="1"/>
    <cellStyle name="Hiperlink" xfId="19" builtinId="8" hidden="1"/>
    <cellStyle name="Hiperlink" xfId="7" builtinId="8" hidden="1"/>
    <cellStyle name="Hiperlink" xfId="9" builtinId="8" hidden="1"/>
    <cellStyle name="Hiperlink" xfId="5" builtinId="8" hidden="1"/>
    <cellStyle name="Hiperlink" xfId="3" builtinId="8" hidden="1"/>
    <cellStyle name="Hiperlink" xfId="632" builtinId="8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4" builtinId="9" hidden="1"/>
    <cellStyle name="Hiperlink Visitado" xfId="516" builtinId="9" hidden="1"/>
    <cellStyle name="Hiperlink Visitado" xfId="518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10" builtinId="9" hidden="1"/>
    <cellStyle name="Hiperlink Visitado" xfId="612" builtinId="9" hidden="1"/>
    <cellStyle name="Hiperlink Visitado" xfId="614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24" builtinId="9" hidden="1"/>
    <cellStyle name="Hiperlink Visitado" xfId="616" builtinId="9" hidden="1"/>
    <cellStyle name="Hiperlink Visitado" xfId="608" builtinId="9" hidden="1"/>
    <cellStyle name="Hiperlink Visitado" xfId="600" builtinId="9" hidden="1"/>
    <cellStyle name="Hiperlink Visitado" xfId="592" builtinId="9" hidden="1"/>
    <cellStyle name="Hiperlink Visitado" xfId="584" builtinId="9" hidden="1"/>
    <cellStyle name="Hiperlink Visitado" xfId="576" builtinId="9" hidden="1"/>
    <cellStyle name="Hiperlink Visitado" xfId="568" builtinId="9" hidden="1"/>
    <cellStyle name="Hiperlink Visitado" xfId="560" builtinId="9" hidden="1"/>
    <cellStyle name="Hiperlink Visitado" xfId="552" builtinId="9" hidden="1"/>
    <cellStyle name="Hiperlink Visitado" xfId="544" builtinId="9" hidden="1"/>
    <cellStyle name="Hiperlink Visitado" xfId="536" builtinId="9" hidden="1"/>
    <cellStyle name="Hiperlink Visitado" xfId="528" builtinId="9" hidden="1"/>
    <cellStyle name="Hiperlink Visitado" xfId="520" builtinId="9" hidden="1"/>
    <cellStyle name="Hiperlink Visitado" xfId="512" builtinId="9" hidden="1"/>
    <cellStyle name="Hiperlink Visitado" xfId="504" builtinId="9" hidden="1"/>
    <cellStyle name="Hiperlink Visitado" xfId="496" builtinId="9" hidden="1"/>
    <cellStyle name="Hiperlink Visitado" xfId="488" builtinId="9" hidden="1"/>
    <cellStyle name="Hiperlink Visitado" xfId="480" builtinId="9" hidden="1"/>
    <cellStyle name="Hiperlink Visitado" xfId="472" builtinId="9" hidden="1"/>
    <cellStyle name="Hiperlink Visitado" xfId="464" builtinId="9" hidden="1"/>
    <cellStyle name="Hiperlink Visitado" xfId="456" builtinId="9" hidden="1"/>
    <cellStyle name="Hiperlink Visitado" xfId="448" builtinId="9" hidden="1"/>
    <cellStyle name="Hiperlink Visitado" xfId="440" builtinId="9" hidden="1"/>
    <cellStyle name="Hiperlink Visitado" xfId="432" builtinId="9" hidden="1"/>
    <cellStyle name="Hiperlink Visitado" xfId="424" builtinId="9" hidden="1"/>
    <cellStyle name="Hiperlink Visitado" xfId="416" builtinId="9" hidden="1"/>
    <cellStyle name="Hiperlink Visitado" xfId="408" builtinId="9" hidden="1"/>
    <cellStyle name="Hiperlink Visitado" xfId="400" builtinId="9" hidden="1"/>
    <cellStyle name="Hiperlink Visitado" xfId="392" builtinId="9" hidden="1"/>
    <cellStyle name="Hiperlink Visitado" xfId="384" builtinId="9" hidden="1"/>
    <cellStyle name="Hiperlink Visitado" xfId="376" builtinId="9" hidden="1"/>
    <cellStyle name="Hiperlink Visitado" xfId="368" builtinId="9" hidden="1"/>
    <cellStyle name="Hiperlink Visitado" xfId="360" builtinId="9" hidden="1"/>
    <cellStyle name="Hiperlink Visitado" xfId="352" builtinId="9" hidden="1"/>
    <cellStyle name="Hiperlink Visitado" xfId="344" builtinId="9" hidden="1"/>
    <cellStyle name="Hiperlink Visitado" xfId="336" builtinId="9" hidden="1"/>
    <cellStyle name="Hiperlink Visitado" xfId="328" builtinId="9" hidden="1"/>
    <cellStyle name="Hiperlink Visitado" xfId="320" builtinId="9" hidden="1"/>
    <cellStyle name="Hiperlink Visitado" xfId="312" builtinId="9" hidden="1"/>
    <cellStyle name="Hiperlink Visitado" xfId="304" builtinId="9" hidden="1"/>
    <cellStyle name="Hiperlink Visitado" xfId="296" builtinId="9" hidden="1"/>
    <cellStyle name="Hiperlink Visitado" xfId="288" builtinId="9" hidden="1"/>
    <cellStyle name="Hiperlink Visitado" xfId="280" builtinId="9" hidden="1"/>
    <cellStyle name="Hiperlink Visitado" xfId="272" builtinId="9" hidden="1"/>
    <cellStyle name="Hiperlink Visitado" xfId="264" builtinId="9" hidden="1"/>
    <cellStyle name="Hiperlink Visitado" xfId="256" builtinId="9" hidden="1"/>
    <cellStyle name="Hiperlink Visitado" xfId="248" builtinId="9" hidden="1"/>
    <cellStyle name="Hiperlink Visitado" xfId="240" builtinId="9" hidden="1"/>
    <cellStyle name="Hiperlink Visitado" xfId="232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24" builtinId="9" hidden="1"/>
    <cellStyle name="Hiperlink Visitado" xfId="208" builtinId="9" hidden="1"/>
    <cellStyle name="Hiperlink Visitado" xfId="192" builtinId="9" hidden="1"/>
    <cellStyle name="Hiperlink Visitado" xfId="176" builtinId="9" hidden="1"/>
    <cellStyle name="Hiperlink Visitado" xfId="160" builtinId="9" hidden="1"/>
    <cellStyle name="Hiperlink Visitado" xfId="144" builtinId="9" hidden="1"/>
    <cellStyle name="Hiperlink Visitado" xfId="128" builtinId="9" hidden="1"/>
    <cellStyle name="Hiperlink Visitado" xfId="112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80" builtinId="9" hidden="1"/>
    <cellStyle name="Hiperlink Visitado" xfId="48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6" builtinId="9" hidden="1"/>
    <cellStyle name="Hiperlink Visitado" xfId="4" builtinId="9" hidden="1"/>
    <cellStyle name="Moeda" xfId="2" builtinId="4"/>
    <cellStyle name="Normal" xfId="0" builtinId="0"/>
    <cellStyle name="Porcentagem" xfId="631" builtinId="5"/>
    <cellStyle name="Vírgula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201757</xdr:rowOff>
    </xdr:from>
    <xdr:to>
      <xdr:col>0</xdr:col>
      <xdr:colOff>2596515</xdr:colOff>
      <xdr:row>4</xdr:row>
      <xdr:rowOff>16658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8457"/>
          <a:ext cx="2596515" cy="870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2666700</xdr:colOff>
      <xdr:row>4</xdr:row>
      <xdr:rowOff>158234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96515" cy="890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114300</xdr:rowOff>
    </xdr:from>
    <xdr:to>
      <xdr:col>2</xdr:col>
      <xdr:colOff>2200275</xdr:colOff>
      <xdr:row>6</xdr:row>
      <xdr:rowOff>83820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297180"/>
          <a:ext cx="2596515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198665</xdr:colOff>
      <xdr:row>0</xdr:row>
      <xdr:rowOff>166914</xdr:rowOff>
    </xdr:from>
    <xdr:to>
      <xdr:col>2</xdr:col>
      <xdr:colOff>2287362</xdr:colOff>
      <xdr:row>2</xdr:row>
      <xdr:rowOff>411389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640" y="166914"/>
          <a:ext cx="2574472" cy="768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198665</xdr:colOff>
      <xdr:row>0</xdr:row>
      <xdr:rowOff>166915</xdr:rowOff>
    </xdr:from>
    <xdr:to>
      <xdr:col>2</xdr:col>
      <xdr:colOff>5829300</xdr:colOff>
      <xdr:row>2</xdr:row>
      <xdr:rowOff>220981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545" y="166915"/>
          <a:ext cx="6133555" cy="5874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201757</xdr:rowOff>
    </xdr:from>
    <xdr:to>
      <xdr:col>1</xdr:col>
      <xdr:colOff>54429</xdr:colOff>
      <xdr:row>3</xdr:row>
      <xdr:rowOff>206828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01757"/>
          <a:ext cx="3298370" cy="82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recrutamento@igeve.com.br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1"/>
  <sheetViews>
    <sheetView tabSelected="1" zoomScale="70" zoomScaleNormal="70" workbookViewId="0">
      <pane xSplit="5" ySplit="12" topLeftCell="F13" activePane="bottomRight" state="frozen"/>
      <selection pane="topRight" activeCell="E1" sqref="E1"/>
      <selection pane="bottomLeft" activeCell="A13" sqref="A13"/>
      <selection pane="bottomRight" activeCell="G14" sqref="G14:G19"/>
    </sheetView>
  </sheetViews>
  <sheetFormatPr defaultColWidth="20.44140625" defaultRowHeight="21" x14ac:dyDescent="0.4"/>
  <cols>
    <col min="1" max="1" width="78" style="49" bestFit="1" customWidth="1"/>
    <col min="2" max="2" width="8.5546875" style="49" customWidth="1"/>
    <col min="3" max="3" width="7.109375" style="49" customWidth="1"/>
    <col min="4" max="4" width="15.5546875" style="53" bestFit="1" customWidth="1"/>
    <col min="5" max="6" width="19.44140625" style="49" customWidth="1"/>
    <col min="7" max="7" width="16.88671875" style="49" customWidth="1"/>
    <col min="8" max="8" width="29.44140625" style="49" bestFit="1" customWidth="1"/>
    <col min="9" max="9" width="27.88671875" style="49" bestFit="1" customWidth="1"/>
    <col min="10" max="10" width="23" style="49" customWidth="1"/>
    <col min="11" max="11" width="20.109375" style="49" bestFit="1" customWidth="1"/>
    <col min="12" max="12" width="19.6640625" style="49" bestFit="1" customWidth="1"/>
    <col min="13" max="13" width="11.6640625" style="49" bestFit="1" customWidth="1"/>
    <col min="14" max="16384" width="20.44140625" style="49"/>
  </cols>
  <sheetData>
    <row r="2" spans="1:13" ht="42" x14ac:dyDescent="0.4">
      <c r="H2" s="161" t="s">
        <v>195</v>
      </c>
      <c r="I2" s="161" t="s">
        <v>196</v>
      </c>
      <c r="J2" s="50"/>
    </row>
    <row r="3" spans="1:13" x14ac:dyDescent="0.4">
      <c r="H3" s="51">
        <f>I3*12</f>
        <v>77918.040000000008</v>
      </c>
      <c r="I3" s="52">
        <f>5500+993.17</f>
        <v>6493.17</v>
      </c>
      <c r="J3" s="52"/>
    </row>
    <row r="5" spans="1:13" ht="40.799999999999997" customHeight="1" x14ac:dyDescent="0.4">
      <c r="H5" s="165" t="s">
        <v>0</v>
      </c>
      <c r="I5" s="165" t="s">
        <v>1</v>
      </c>
      <c r="J5" s="166" t="s">
        <v>2</v>
      </c>
    </row>
    <row r="6" spans="1:13" ht="21" customHeight="1" x14ac:dyDescent="0.4">
      <c r="H6" s="51">
        <f>H8+H9</f>
        <v>649020.84000000008</v>
      </c>
      <c r="I6" s="52">
        <f>SUM(I8:I9)</f>
        <v>54085.07</v>
      </c>
      <c r="J6" s="52">
        <f>I6/B11</f>
        <v>795.36867647058818</v>
      </c>
      <c r="M6" s="167">
        <f>I6-L21</f>
        <v>18748.269631000003</v>
      </c>
    </row>
    <row r="7" spans="1:13" ht="23.4" x14ac:dyDescent="0.45">
      <c r="A7" s="101" t="s">
        <v>201</v>
      </c>
      <c r="B7" s="100"/>
      <c r="C7" s="102"/>
      <c r="D7" s="102"/>
      <c r="M7" s="168"/>
    </row>
    <row r="8" spans="1:13" ht="23.4" x14ac:dyDescent="0.45">
      <c r="A8" s="103" t="s">
        <v>202</v>
      </c>
      <c r="B8" s="100"/>
      <c r="C8" s="102"/>
      <c r="D8" s="102"/>
      <c r="H8" s="53">
        <f>I8*12</f>
        <v>577865.28</v>
      </c>
      <c r="I8" s="53">
        <v>48155.44</v>
      </c>
      <c r="J8" s="53">
        <f>I8/B10</f>
        <v>1070.1208888888889</v>
      </c>
      <c r="M8" s="168"/>
    </row>
    <row r="9" spans="1:13" ht="23.4" x14ac:dyDescent="0.45">
      <c r="A9" s="100" t="s">
        <v>203</v>
      </c>
      <c r="B9" s="100">
        <v>23</v>
      </c>
      <c r="C9" s="171">
        <f>B9/8</f>
        <v>2.875</v>
      </c>
      <c r="D9" s="102"/>
      <c r="E9" s="174" t="s">
        <v>3</v>
      </c>
      <c r="F9" s="175"/>
      <c r="G9" s="176"/>
      <c r="H9" s="55">
        <f>I9*12</f>
        <v>71155.56</v>
      </c>
      <c r="I9" s="53">
        <v>5929.63</v>
      </c>
      <c r="J9" s="55">
        <f>I9/B9</f>
        <v>257.81</v>
      </c>
      <c r="M9" s="169">
        <f>L21/70%</f>
        <v>50481.143384285715</v>
      </c>
    </row>
    <row r="10" spans="1:13" ht="23.4" x14ac:dyDescent="0.45">
      <c r="A10" s="100" t="s">
        <v>204</v>
      </c>
      <c r="B10" s="100">
        <v>45</v>
      </c>
      <c r="C10" s="171">
        <f>B10/10</f>
        <v>4.5</v>
      </c>
      <c r="D10" s="102"/>
      <c r="K10" s="56"/>
      <c r="L10" s="56"/>
    </row>
    <row r="11" spans="1:13" ht="21.6" thickBot="1" x14ac:dyDescent="0.45">
      <c r="B11" s="49">
        <f>SUM(B9:B10)</f>
        <v>68</v>
      </c>
    </row>
    <row r="12" spans="1:13" ht="21.6" thickBot="1" x14ac:dyDescent="0.45">
      <c r="A12" s="133" t="s">
        <v>4</v>
      </c>
      <c r="B12" s="134" t="s">
        <v>5</v>
      </c>
      <c r="C12" s="134" t="s">
        <v>6</v>
      </c>
      <c r="D12" s="135" t="s">
        <v>163</v>
      </c>
      <c r="E12" s="135" t="s">
        <v>7</v>
      </c>
      <c r="F12" s="135" t="s">
        <v>194</v>
      </c>
      <c r="G12" s="134" t="s">
        <v>8</v>
      </c>
      <c r="H12" s="134" t="s">
        <v>9</v>
      </c>
      <c r="I12" s="134" t="s">
        <v>10</v>
      </c>
      <c r="J12" s="134" t="s">
        <v>11</v>
      </c>
      <c r="K12" s="136" t="s">
        <v>162</v>
      </c>
      <c r="L12" s="137" t="s">
        <v>12</v>
      </c>
    </row>
    <row r="13" spans="1:13" s="66" customFormat="1" x14ac:dyDescent="0.4">
      <c r="A13" s="138" t="s">
        <v>13</v>
      </c>
      <c r="B13" s="139">
        <v>40</v>
      </c>
      <c r="C13" s="139">
        <v>1</v>
      </c>
      <c r="D13" s="140">
        <v>3637.2</v>
      </c>
      <c r="E13" s="141">
        <f>D13*C13</f>
        <v>3637.2</v>
      </c>
      <c r="F13" s="141">
        <f>(-E13*20%)+E13</f>
        <v>2909.7599999999998</v>
      </c>
      <c r="G13" s="142">
        <f>E13*20.5%</f>
        <v>745.62599999999986</v>
      </c>
      <c r="H13" s="142">
        <f t="shared" ref="H13:H18" si="0">E13*21.57%</f>
        <v>784.54404</v>
      </c>
      <c r="I13" s="142">
        <v>0</v>
      </c>
      <c r="J13" s="142">
        <f t="shared" ref="J13:J18" si="1">13.85*C13</f>
        <v>13.85</v>
      </c>
      <c r="K13" s="142">
        <f t="shared" ref="K13:K18" si="2">15*C13</f>
        <v>15</v>
      </c>
      <c r="L13" s="143">
        <f>SUM(F13:K13)</f>
        <v>4468.7800399999996</v>
      </c>
      <c r="M13" s="65"/>
    </row>
    <row r="14" spans="1:13" s="66" customFormat="1" x14ac:dyDescent="0.4">
      <c r="A14" s="60" t="s">
        <v>14</v>
      </c>
      <c r="B14" s="61">
        <v>40</v>
      </c>
      <c r="C14" s="61">
        <v>1</v>
      </c>
      <c r="D14" s="116">
        <v>3007.92</v>
      </c>
      <c r="E14" s="62">
        <f t="shared" ref="E14:E18" si="3">D14*C14</f>
        <v>3007.92</v>
      </c>
      <c r="F14" s="62">
        <f>(-E14*20%)+E14</f>
        <v>2406.3360000000002</v>
      </c>
      <c r="G14" s="63">
        <f>E14*20.5%</f>
        <v>616.62360000000001</v>
      </c>
      <c r="H14" s="63">
        <f t="shared" si="0"/>
        <v>648.80834400000003</v>
      </c>
      <c r="I14" s="63">
        <v>0</v>
      </c>
      <c r="J14" s="63">
        <f t="shared" si="1"/>
        <v>13.85</v>
      </c>
      <c r="K14" s="63">
        <f t="shared" si="2"/>
        <v>15</v>
      </c>
      <c r="L14" s="64">
        <f>SUM(F14:K14)</f>
        <v>3700.6179440000001</v>
      </c>
      <c r="M14" s="65"/>
    </row>
    <row r="15" spans="1:13" s="66" customFormat="1" x14ac:dyDescent="0.4">
      <c r="A15" s="60" t="s">
        <v>15</v>
      </c>
      <c r="B15" s="61">
        <v>40</v>
      </c>
      <c r="C15" s="61">
        <v>4</v>
      </c>
      <c r="D15" s="116">
        <v>2886.24</v>
      </c>
      <c r="E15" s="62">
        <f t="shared" si="3"/>
        <v>11544.96</v>
      </c>
      <c r="F15" s="62">
        <f>(-E15*15%)+E15</f>
        <v>9813.2159999999985</v>
      </c>
      <c r="G15" s="63">
        <f t="shared" ref="G15:G19" si="4">E15*20.5%</f>
        <v>2366.7167999999997</v>
      </c>
      <c r="H15" s="63">
        <f t="shared" si="0"/>
        <v>2490.2478719999999</v>
      </c>
      <c r="I15" s="63">
        <v>0</v>
      </c>
      <c r="J15" s="63">
        <f t="shared" si="1"/>
        <v>55.4</v>
      </c>
      <c r="K15" s="63">
        <f t="shared" si="2"/>
        <v>60</v>
      </c>
      <c r="L15" s="64">
        <f t="shared" ref="L15:L19" si="5">SUM(F15:K15)</f>
        <v>14785.580671999998</v>
      </c>
      <c r="M15" s="65"/>
    </row>
    <row r="16" spans="1:13" s="66" customFormat="1" x14ac:dyDescent="0.4">
      <c r="A16" s="60" t="s">
        <v>182</v>
      </c>
      <c r="B16" s="61">
        <v>40</v>
      </c>
      <c r="C16" s="61">
        <v>2</v>
      </c>
      <c r="D16" s="116">
        <v>2886.24</v>
      </c>
      <c r="E16" s="62">
        <f t="shared" ref="E16" si="6">D16*C16</f>
        <v>5772.48</v>
      </c>
      <c r="F16" s="62">
        <f>(-E16*15%)+E16</f>
        <v>4906.6079999999993</v>
      </c>
      <c r="G16" s="63">
        <f t="shared" si="4"/>
        <v>1183.3583999999998</v>
      </c>
      <c r="H16" s="63">
        <f t="shared" ref="H16" si="7">E16*21.57%</f>
        <v>1245.123936</v>
      </c>
      <c r="I16" s="63">
        <v>0</v>
      </c>
      <c r="J16" s="63">
        <f t="shared" ref="J16" si="8">13.85*C16</f>
        <v>27.7</v>
      </c>
      <c r="K16" s="63">
        <f t="shared" ref="K16" si="9">15*C16</f>
        <v>30</v>
      </c>
      <c r="L16" s="64">
        <f t="shared" si="5"/>
        <v>7392.7903359999991</v>
      </c>
      <c r="M16" s="65"/>
    </row>
    <row r="17" spans="1:13" s="66" customFormat="1" x14ac:dyDescent="0.4">
      <c r="A17" s="60" t="s">
        <v>21</v>
      </c>
      <c r="B17" s="61">
        <v>40</v>
      </c>
      <c r="C17" s="61">
        <v>1</v>
      </c>
      <c r="D17" s="116">
        <v>1256.3699999999999</v>
      </c>
      <c r="E17" s="62">
        <f t="shared" si="3"/>
        <v>1256.3699999999999</v>
      </c>
      <c r="F17" s="62">
        <f>(-E17*12%)+E17</f>
        <v>1105.6055999999999</v>
      </c>
      <c r="G17" s="63">
        <f t="shared" si="4"/>
        <v>257.55584999999996</v>
      </c>
      <c r="H17" s="63">
        <f t="shared" si="0"/>
        <v>270.999009</v>
      </c>
      <c r="I17" s="63">
        <v>0</v>
      </c>
      <c r="J17" s="63">
        <f t="shared" si="1"/>
        <v>13.85</v>
      </c>
      <c r="K17" s="63">
        <f t="shared" si="2"/>
        <v>15</v>
      </c>
      <c r="L17" s="64">
        <f t="shared" si="5"/>
        <v>1663.0104589999996</v>
      </c>
      <c r="M17" s="65"/>
    </row>
    <row r="18" spans="1:13" s="66" customFormat="1" x14ac:dyDescent="0.4">
      <c r="A18" s="60" t="s">
        <v>22</v>
      </c>
      <c r="B18" s="61">
        <v>40</v>
      </c>
      <c r="C18" s="61">
        <v>1</v>
      </c>
      <c r="D18" s="116">
        <v>1256.3699999999999</v>
      </c>
      <c r="E18" s="62">
        <f t="shared" si="3"/>
        <v>1256.3699999999999</v>
      </c>
      <c r="F18" s="62">
        <f>(-E18*12%)+E18</f>
        <v>1105.6055999999999</v>
      </c>
      <c r="G18" s="63">
        <f t="shared" si="4"/>
        <v>257.55584999999996</v>
      </c>
      <c r="H18" s="63">
        <f t="shared" si="0"/>
        <v>270.999009</v>
      </c>
      <c r="I18" s="63">
        <v>0</v>
      </c>
      <c r="J18" s="63">
        <f t="shared" si="1"/>
        <v>13.85</v>
      </c>
      <c r="K18" s="63">
        <f t="shared" si="2"/>
        <v>15</v>
      </c>
      <c r="L18" s="64">
        <f t="shared" si="5"/>
        <v>1663.0104589999996</v>
      </c>
      <c r="M18" s="65"/>
    </row>
    <row r="19" spans="1:13" s="66" customFormat="1" x14ac:dyDescent="0.4">
      <c r="A19" s="60" t="s">
        <v>24</v>
      </c>
      <c r="B19" s="61">
        <v>40</v>
      </c>
      <c r="C19" s="61">
        <v>1</v>
      </c>
      <c r="D19" s="116">
        <v>1256.3699999999999</v>
      </c>
      <c r="E19" s="62">
        <f t="shared" ref="E19" si="10">D19*C19</f>
        <v>1256.3699999999999</v>
      </c>
      <c r="F19" s="62">
        <f>(-E19*12%)+E19</f>
        <v>1105.6055999999999</v>
      </c>
      <c r="G19" s="63">
        <f t="shared" si="4"/>
        <v>257.55584999999996</v>
      </c>
      <c r="H19" s="63">
        <f t="shared" ref="H19" si="11">E19*21.57%</f>
        <v>270.999009</v>
      </c>
      <c r="I19" s="63">
        <v>0</v>
      </c>
      <c r="J19" s="63">
        <f t="shared" ref="J19" si="12">13.85*C19</f>
        <v>13.85</v>
      </c>
      <c r="K19" s="63">
        <f t="shared" ref="K19" si="13">15*C19</f>
        <v>15</v>
      </c>
      <c r="L19" s="64">
        <f t="shared" si="5"/>
        <v>1663.0104589999996</v>
      </c>
      <c r="M19" s="65"/>
    </row>
    <row r="20" spans="1:13" s="66" customFormat="1" x14ac:dyDescent="0.4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15"/>
      <c r="M20" s="70"/>
    </row>
    <row r="21" spans="1:13" s="74" customFormat="1" x14ac:dyDescent="0.4">
      <c r="A21" s="71" t="s">
        <v>25</v>
      </c>
      <c r="B21" s="72"/>
      <c r="C21" s="72">
        <f>SUM(C13:C19)</f>
        <v>11</v>
      </c>
      <c r="D21" s="73"/>
      <c r="E21" s="73">
        <f t="shared" ref="E21:L21" si="14">SUM(E13:E19)</f>
        <v>27731.669999999995</v>
      </c>
      <c r="F21" s="73">
        <f t="shared" si="14"/>
        <v>23352.736799999995</v>
      </c>
      <c r="G21" s="73">
        <f t="shared" si="14"/>
        <v>5684.9923499999986</v>
      </c>
      <c r="H21" s="73">
        <f t="shared" si="14"/>
        <v>5981.721219</v>
      </c>
      <c r="I21" s="73">
        <f t="shared" si="14"/>
        <v>0</v>
      </c>
      <c r="J21" s="73">
        <f t="shared" si="14"/>
        <v>152.35</v>
      </c>
      <c r="K21" s="73">
        <f t="shared" si="14"/>
        <v>165</v>
      </c>
      <c r="L21" s="73">
        <f t="shared" si="14"/>
        <v>35336.800368999997</v>
      </c>
      <c r="M21" s="170">
        <f>L21/I6</f>
        <v>0.65335591446955688</v>
      </c>
    </row>
    <row r="22" spans="1:13" ht="30.75" customHeight="1" x14ac:dyDescent="0.4"/>
    <row r="23" spans="1:13" x14ac:dyDescent="0.4">
      <c r="E23" s="55"/>
      <c r="F23" s="55"/>
      <c r="G23" s="55"/>
      <c r="H23" s="55"/>
      <c r="I23" s="55"/>
    </row>
    <row r="24" spans="1:13" x14ac:dyDescent="0.4">
      <c r="A24" s="104"/>
      <c r="I24" s="160"/>
    </row>
    <row r="25" spans="1:13" ht="32.25" customHeight="1" x14ac:dyDescent="0.45">
      <c r="A25" s="99" t="s">
        <v>26</v>
      </c>
      <c r="B25" s="100"/>
      <c r="C25" s="100"/>
      <c r="D25" s="102"/>
      <c r="E25" s="100"/>
      <c r="F25" s="100"/>
      <c r="H25" s="55"/>
      <c r="I25" s="55"/>
    </row>
    <row r="26" spans="1:13" ht="33" customHeight="1" x14ac:dyDescent="0.45">
      <c r="A26" s="99" t="s">
        <v>27</v>
      </c>
      <c r="B26" s="100"/>
      <c r="C26" s="100"/>
      <c r="D26" s="102"/>
      <c r="E26" s="100"/>
      <c r="F26" s="100"/>
      <c r="H26" s="55"/>
      <c r="I26" s="55"/>
    </row>
    <row r="27" spans="1:13" x14ac:dyDescent="0.4">
      <c r="A27" s="76"/>
      <c r="H27" s="55"/>
      <c r="I27" s="55"/>
      <c r="J27" s="53"/>
    </row>
    <row r="28" spans="1:13" x14ac:dyDescent="0.4">
      <c r="H28" s="55"/>
      <c r="I28" s="55"/>
      <c r="J28" s="53"/>
    </row>
    <row r="29" spans="1:13" x14ac:dyDescent="0.4">
      <c r="H29" s="55"/>
      <c r="I29" s="55"/>
      <c r="J29" s="53"/>
    </row>
    <row r="30" spans="1:13" x14ac:dyDescent="0.4">
      <c r="H30" s="55"/>
      <c r="I30" s="55"/>
      <c r="J30" s="53"/>
    </row>
    <row r="31" spans="1:13" x14ac:dyDescent="0.4">
      <c r="H31" s="55"/>
      <c r="I31" s="55"/>
      <c r="J31" s="53"/>
    </row>
    <row r="32" spans="1:13" x14ac:dyDescent="0.4">
      <c r="H32" s="55"/>
      <c r="I32" s="55"/>
      <c r="J32" s="53"/>
    </row>
    <row r="33" spans="10:10" x14ac:dyDescent="0.4">
      <c r="J33" s="53"/>
    </row>
    <row r="34" spans="10:10" x14ac:dyDescent="0.4">
      <c r="J34" s="53"/>
    </row>
    <row r="35" spans="10:10" x14ac:dyDescent="0.4">
      <c r="J35" s="53"/>
    </row>
    <row r="36" spans="10:10" x14ac:dyDescent="0.4">
      <c r="J36" s="53"/>
    </row>
    <row r="37" spans="10:10" x14ac:dyDescent="0.4">
      <c r="J37" s="53"/>
    </row>
    <row r="38" spans="10:10" x14ac:dyDescent="0.4">
      <c r="J38" s="53"/>
    </row>
    <row r="39" spans="10:10" x14ac:dyDescent="0.4">
      <c r="J39" s="53"/>
    </row>
    <row r="40" spans="10:10" x14ac:dyDescent="0.4">
      <c r="J40" s="53"/>
    </row>
    <row r="41" spans="10:10" x14ac:dyDescent="0.4">
      <c r="J41" s="53"/>
    </row>
  </sheetData>
  <mergeCells count="2">
    <mergeCell ref="A20:K20"/>
    <mergeCell ref="E9:G9"/>
  </mergeCells>
  <phoneticPr fontId="4" type="noConversion"/>
  <printOptions horizontalCentered="1"/>
  <pageMargins left="0" right="0" top="0" bottom="0" header="0" footer="0"/>
  <pageSetup paperSize="9" scale="54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33"/>
  <sheetViews>
    <sheetView zoomScale="95" zoomScaleNormal="95" zoomScalePageLayoutView="75" workbookViewId="0">
      <selection activeCell="G15" sqref="G15"/>
    </sheetView>
  </sheetViews>
  <sheetFormatPr defaultColWidth="11.44140625" defaultRowHeight="14.4" x14ac:dyDescent="0.3"/>
  <cols>
    <col min="1" max="1" width="56.33203125" bestFit="1" customWidth="1"/>
    <col min="2" max="2" width="12.109375" customWidth="1"/>
    <col min="3" max="3" width="7.33203125" customWidth="1"/>
    <col min="4" max="4" width="13.6640625" customWidth="1"/>
    <col min="5" max="5" width="11.6640625" hidden="1" customWidth="1"/>
    <col min="6" max="6" width="15.6640625" bestFit="1" customWidth="1"/>
    <col min="7" max="7" width="14" bestFit="1" customWidth="1"/>
    <col min="8" max="8" width="15.6640625" bestFit="1" customWidth="1"/>
    <col min="9" max="10" width="14" bestFit="1" customWidth="1"/>
    <col min="11" max="11" width="12.88671875" bestFit="1" customWidth="1"/>
    <col min="12" max="14" width="14" bestFit="1" customWidth="1"/>
    <col min="15" max="15" width="12.88671875" bestFit="1" customWidth="1"/>
    <col min="16" max="17" width="14" bestFit="1" customWidth="1"/>
    <col min="18" max="18" width="12.88671875" bestFit="1" customWidth="1"/>
    <col min="19" max="19" width="57.33203125" bestFit="1" customWidth="1"/>
    <col min="20" max="20" width="10" bestFit="1" customWidth="1"/>
    <col min="21" max="21" width="12.88671875" bestFit="1" customWidth="1"/>
    <col min="22" max="22" width="15.33203125" bestFit="1" customWidth="1"/>
    <col min="23" max="23" width="5.88671875" customWidth="1"/>
    <col min="24" max="24" width="10" bestFit="1" customWidth="1"/>
    <col min="25" max="25" width="12.88671875" bestFit="1" customWidth="1"/>
    <col min="26" max="26" width="5.88671875" bestFit="1" customWidth="1"/>
    <col min="27" max="27" width="10" bestFit="1" customWidth="1"/>
    <col min="28" max="28" width="12.88671875" bestFit="1" customWidth="1"/>
    <col min="29" max="29" width="5.88671875" customWidth="1"/>
    <col min="30" max="30" width="10" bestFit="1" customWidth="1"/>
    <col min="31" max="31" width="12.88671875" bestFit="1" customWidth="1"/>
    <col min="32" max="32" width="38.6640625" bestFit="1" customWidth="1"/>
  </cols>
  <sheetData>
    <row r="2" spans="1:32" ht="21" x14ac:dyDescent="0.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</row>
    <row r="3" spans="1:32" ht="21" x14ac:dyDescent="0.4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</row>
    <row r="4" spans="1:32" x14ac:dyDescent="0.3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</row>
    <row r="5" spans="1:32" ht="18" x14ac:dyDescent="0.3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</row>
    <row r="6" spans="1:32" ht="18" x14ac:dyDescent="0.35">
      <c r="A6" s="21" t="s">
        <v>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</row>
    <row r="7" spans="1:32" ht="18" x14ac:dyDescent="0.35">
      <c r="A7" t="s">
        <v>29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</row>
    <row r="8" spans="1:32" ht="18" x14ac:dyDescent="0.35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</row>
    <row r="10" spans="1:32" ht="14.1" customHeight="1" x14ac:dyDescent="0.3">
      <c r="A10" s="184" t="s">
        <v>30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</row>
    <row r="11" spans="1:32" ht="27.9" customHeight="1" x14ac:dyDescent="0.3">
      <c r="A11" s="179" t="s">
        <v>31</v>
      </c>
      <c r="B11" s="179" t="s">
        <v>32</v>
      </c>
      <c r="C11" s="179" t="s">
        <v>33</v>
      </c>
      <c r="D11" s="179" t="s">
        <v>34</v>
      </c>
      <c r="E11" s="179" t="s">
        <v>35</v>
      </c>
      <c r="F11" s="179" t="s">
        <v>36</v>
      </c>
      <c r="G11" s="181"/>
      <c r="H11" s="182"/>
      <c r="I11" s="182"/>
      <c r="J11" s="182"/>
      <c r="K11" s="182"/>
      <c r="L11" s="182"/>
      <c r="M11" s="182"/>
      <c r="N11" s="182"/>
      <c r="O11" s="182"/>
      <c r="P11" s="182"/>
      <c r="Q11" s="183"/>
      <c r="R11" s="105"/>
      <c r="S11" s="180" t="s">
        <v>37</v>
      </c>
      <c r="T11" s="180" t="s">
        <v>38</v>
      </c>
      <c r="U11" s="180"/>
      <c r="V11" s="105" t="s">
        <v>39</v>
      </c>
      <c r="W11" s="181" t="s">
        <v>40</v>
      </c>
      <c r="X11" s="182"/>
      <c r="Y11" s="183"/>
      <c r="Z11" s="179" t="s">
        <v>41</v>
      </c>
      <c r="AA11" s="179"/>
      <c r="AB11" s="179"/>
      <c r="AC11" s="179" t="s">
        <v>42</v>
      </c>
      <c r="AD11" s="179"/>
      <c r="AE11" s="179"/>
      <c r="AF11" s="177" t="s">
        <v>43</v>
      </c>
    </row>
    <row r="12" spans="1:32" ht="27.9" customHeight="1" x14ac:dyDescent="0.3">
      <c r="A12" s="179"/>
      <c r="B12" s="179"/>
      <c r="C12" s="179"/>
      <c r="D12" s="179"/>
      <c r="E12" s="179"/>
      <c r="F12" s="179"/>
      <c r="G12" s="105" t="s">
        <v>44</v>
      </c>
      <c r="H12" s="105" t="s">
        <v>45</v>
      </c>
      <c r="I12" s="105" t="s">
        <v>46</v>
      </c>
      <c r="J12" s="105" t="s">
        <v>47</v>
      </c>
      <c r="K12" s="105" t="s">
        <v>48</v>
      </c>
      <c r="L12" s="105" t="s">
        <v>49</v>
      </c>
      <c r="M12" s="105" t="s">
        <v>50</v>
      </c>
      <c r="N12" s="105" t="s">
        <v>51</v>
      </c>
      <c r="O12" s="105" t="s">
        <v>52</v>
      </c>
      <c r="P12" s="105" t="s">
        <v>53</v>
      </c>
      <c r="Q12" s="105" t="s">
        <v>54</v>
      </c>
      <c r="R12" s="105" t="s">
        <v>55</v>
      </c>
      <c r="S12" s="180"/>
      <c r="T12" s="105" t="s">
        <v>56</v>
      </c>
      <c r="U12" s="105" t="s">
        <v>57</v>
      </c>
      <c r="V12" s="105" t="s">
        <v>57</v>
      </c>
      <c r="W12" s="105" t="s">
        <v>58</v>
      </c>
      <c r="X12" s="105" t="s">
        <v>59</v>
      </c>
      <c r="Y12" s="105" t="s">
        <v>57</v>
      </c>
      <c r="Z12" s="105" t="s">
        <v>58</v>
      </c>
      <c r="AA12" s="105" t="s">
        <v>59</v>
      </c>
      <c r="AB12" s="105" t="s">
        <v>57</v>
      </c>
      <c r="AC12" s="105" t="s">
        <v>58</v>
      </c>
      <c r="AD12" s="105" t="s">
        <v>59</v>
      </c>
      <c r="AE12" s="105" t="s">
        <v>57</v>
      </c>
      <c r="AF12" s="178"/>
    </row>
    <row r="13" spans="1:32" s="6" customFormat="1" x14ac:dyDescent="0.3">
      <c r="A13" s="11" t="str">
        <f>VPTA!A13</f>
        <v>DIRETOR</v>
      </c>
      <c r="B13" s="12">
        <f>VLOOKUP(A13,VPTA!A:K,2,FALSE)</f>
        <v>40</v>
      </c>
      <c r="C13" s="12">
        <f>VLOOKUP(A13,VPTA!A:K,3,FALSE)</f>
        <v>1</v>
      </c>
      <c r="D13" s="13">
        <f>VLOOKUP(A13,VPTA!A:K,4,FALSE)</f>
        <v>3637.2</v>
      </c>
      <c r="E13" s="13"/>
      <c r="F13" s="14">
        <f t="shared" ref="F13:F19" si="0">SUM(D13:E13)*C13</f>
        <v>3637.2</v>
      </c>
      <c r="G13" s="14">
        <f t="shared" ref="G13:G20" si="1">F13*8%</f>
        <v>290.976</v>
      </c>
      <c r="H13" s="14">
        <f t="shared" ref="H13:H19" si="2">(F13*5.8%)+(F13*20%)</f>
        <v>938.39760000000001</v>
      </c>
      <c r="I13" s="14">
        <f t="shared" ref="I13:I19" si="3">F13/12</f>
        <v>303.09999999999997</v>
      </c>
      <c r="J13" s="14">
        <f t="shared" ref="J13:J20" si="4">I13*27.8%</f>
        <v>84.261799999999994</v>
      </c>
      <c r="K13" s="14">
        <f t="shared" ref="K13:K19" si="5">I13*8%</f>
        <v>24.247999999999998</v>
      </c>
      <c r="L13" s="14">
        <f t="shared" ref="L13:L19" si="6">F13/12</f>
        <v>303.09999999999997</v>
      </c>
      <c r="M13" s="14">
        <f>L13/3</f>
        <v>101.03333333333332</v>
      </c>
      <c r="N13" s="14">
        <f t="shared" ref="N13:N19" si="7">(L13+M13)*27.8%</f>
        <v>112.34906666666666</v>
      </c>
      <c r="O13" s="14">
        <f t="shared" ref="O13:O19" si="8">(L13+M13)*8%</f>
        <v>32.330666666666659</v>
      </c>
      <c r="P13" s="14">
        <f>F13/12</f>
        <v>303.09999999999997</v>
      </c>
      <c r="Q13" s="14">
        <f>((G13+K13+O13)*50%)</f>
        <v>173.77733333333333</v>
      </c>
      <c r="R13" s="14">
        <f t="shared" ref="R13:R19" si="9">(F13+I13+L13+M13+P13)*1%</f>
        <v>46.475333333333339</v>
      </c>
      <c r="S13" s="14">
        <f t="shared" ref="S13:S20" si="10">SUM(I13:R13)</f>
        <v>1483.775533333333</v>
      </c>
      <c r="T13" s="13">
        <v>132</v>
      </c>
      <c r="U13" s="14">
        <f t="shared" ref="U13:U20" si="11">T13*C13</f>
        <v>132</v>
      </c>
      <c r="V13" s="14">
        <f t="shared" ref="V13:V20" si="12">SUM(U13+S13+H13+G13+F13)</f>
        <v>6482.3491333333332</v>
      </c>
      <c r="W13" s="17">
        <f t="shared" ref="W13:W20" si="13">C13</f>
        <v>1</v>
      </c>
      <c r="X13" s="14">
        <v>504</v>
      </c>
      <c r="Y13" s="14">
        <f t="shared" ref="Y13:Y20" si="14">X13*W13</f>
        <v>504</v>
      </c>
      <c r="Z13" s="12">
        <f>C13</f>
        <v>1</v>
      </c>
      <c r="AA13" s="18">
        <v>132</v>
      </c>
      <c r="AB13" s="13">
        <f t="shared" ref="AB13:AB20" si="15">AA13*Z13</f>
        <v>132</v>
      </c>
      <c r="AC13" s="12">
        <f t="shared" ref="AC13:AC19" si="16">C13</f>
        <v>1</v>
      </c>
      <c r="AD13" s="18">
        <v>313</v>
      </c>
      <c r="AE13" s="13">
        <f t="shared" ref="AE13:AE20" si="17">AD13*AC13</f>
        <v>313</v>
      </c>
      <c r="AF13" s="14">
        <f t="shared" ref="AF13:AF20" si="18">V13+AE13+Y13</f>
        <v>7299.3491333333332</v>
      </c>
    </row>
    <row r="14" spans="1:32" s="6" customFormat="1" x14ac:dyDescent="0.3">
      <c r="A14" s="11" t="str">
        <f>VPTA!A14</f>
        <v>COORDENADOR PEDAGÓGICO</v>
      </c>
      <c r="B14" s="12">
        <f>VLOOKUP(A14,VPTA!A:K,2,FALSE)</f>
        <v>40</v>
      </c>
      <c r="C14" s="12">
        <f>VLOOKUP(A14,VPTA!A:K,3,FALSE)</f>
        <v>1</v>
      </c>
      <c r="D14" s="13">
        <f>VLOOKUP(A14,VPTA!A:K,4,FALSE)</f>
        <v>3007.92</v>
      </c>
      <c r="E14" s="13"/>
      <c r="F14" s="14">
        <f>SUM(D14:E14)*C14</f>
        <v>3007.92</v>
      </c>
      <c r="G14" s="14">
        <f t="shared" si="1"/>
        <v>240.6336</v>
      </c>
      <c r="H14" s="14">
        <f>(F14*5.8%)+(F14*20%)</f>
        <v>776.04336000000012</v>
      </c>
      <c r="I14" s="14">
        <f>F14/12</f>
        <v>250.66</v>
      </c>
      <c r="J14" s="14">
        <f t="shared" si="4"/>
        <v>69.683480000000003</v>
      </c>
      <c r="K14" s="14">
        <f>I14*8%</f>
        <v>20.052800000000001</v>
      </c>
      <c r="L14" s="14">
        <f>F14/12</f>
        <v>250.66</v>
      </c>
      <c r="M14" s="14">
        <f>L14/3</f>
        <v>83.553333333333327</v>
      </c>
      <c r="N14" s="14">
        <f>(L14+M14)*27.8%</f>
        <v>92.911306666666675</v>
      </c>
      <c r="O14" s="14">
        <f>(L14+M14)*8%</f>
        <v>26.737066666666664</v>
      </c>
      <c r="P14" s="14">
        <f>F14/12</f>
        <v>250.66</v>
      </c>
      <c r="Q14" s="14">
        <f>((G14+K14+O14)*50%)</f>
        <v>143.71173333333331</v>
      </c>
      <c r="R14" s="14">
        <f>(F14+I14+L14+M14+P14)*1%</f>
        <v>38.434533333333327</v>
      </c>
      <c r="S14" s="14">
        <f t="shared" si="10"/>
        <v>1227.0642533333332</v>
      </c>
      <c r="T14" s="13">
        <v>132</v>
      </c>
      <c r="U14" s="14">
        <f t="shared" si="11"/>
        <v>132</v>
      </c>
      <c r="V14" s="14">
        <f t="shared" si="12"/>
        <v>5383.6612133333338</v>
      </c>
      <c r="W14" s="17">
        <f t="shared" si="13"/>
        <v>1</v>
      </c>
      <c r="X14" s="14">
        <v>504</v>
      </c>
      <c r="Y14" s="14">
        <f t="shared" si="14"/>
        <v>504</v>
      </c>
      <c r="Z14" s="12">
        <f>C14</f>
        <v>1</v>
      </c>
      <c r="AA14" s="18">
        <v>132</v>
      </c>
      <c r="AB14" s="13">
        <f>AA14*Z14</f>
        <v>132</v>
      </c>
      <c r="AC14" s="12">
        <f t="shared" si="16"/>
        <v>1</v>
      </c>
      <c r="AD14" s="18">
        <v>313</v>
      </c>
      <c r="AE14" s="13">
        <f t="shared" si="17"/>
        <v>313</v>
      </c>
      <c r="AF14" s="14">
        <f>V14+AE14+Y14</f>
        <v>6200.6612133333338</v>
      </c>
    </row>
    <row r="15" spans="1:32" s="6" customFormat="1" x14ac:dyDescent="0.3">
      <c r="A15" s="11" t="str">
        <f>VPTA!A15</f>
        <v>PROFESSOR DE EDUCAÇÃO INFANTIL</v>
      </c>
      <c r="B15" s="12">
        <f>VLOOKUP(A15,VPTA!A:K,2,FALSE)</f>
        <v>40</v>
      </c>
      <c r="C15" s="12">
        <f>VLOOKUP(A15,VPTA!A:K,3,FALSE)</f>
        <v>4</v>
      </c>
      <c r="D15" s="13">
        <f>VLOOKUP(A15,VPTA!A:K,4,FALSE)</f>
        <v>2886.24</v>
      </c>
      <c r="E15" s="13"/>
      <c r="F15" s="14">
        <f>SUM(D15:E15)*C15</f>
        <v>11544.96</v>
      </c>
      <c r="G15" s="14">
        <f t="shared" si="1"/>
        <v>923.59679999999992</v>
      </c>
      <c r="H15" s="14">
        <f>(F15*5.8%)+(F15*20%)</f>
        <v>2978.5996799999998</v>
      </c>
      <c r="I15" s="14">
        <f>F15/12</f>
        <v>962.07999999999993</v>
      </c>
      <c r="J15" s="14">
        <f t="shared" si="4"/>
        <v>267.45823999999999</v>
      </c>
      <c r="K15" s="14">
        <f>I15*8%</f>
        <v>76.966399999999993</v>
      </c>
      <c r="L15" s="14">
        <f>F15/12</f>
        <v>962.07999999999993</v>
      </c>
      <c r="M15" s="14">
        <f t="shared" ref="M15:M20" si="19">L15/3</f>
        <v>320.69333333333333</v>
      </c>
      <c r="N15" s="14">
        <f>(L15+M15)*27.8%</f>
        <v>356.61098666666669</v>
      </c>
      <c r="O15" s="14">
        <f>(L15+M15)*8%</f>
        <v>102.62186666666666</v>
      </c>
      <c r="P15" s="14">
        <f t="shared" ref="P15:P20" si="20">F15/12</f>
        <v>962.07999999999993</v>
      </c>
      <c r="Q15" s="14">
        <f t="shared" ref="Q15:Q20" si="21">((G15+K15+O15)*50%)</f>
        <v>551.59253333333334</v>
      </c>
      <c r="R15" s="14">
        <f>(F15+I15+L15+M15+P15)*1%</f>
        <v>147.51893333333331</v>
      </c>
      <c r="S15" s="14">
        <f t="shared" si="10"/>
        <v>4709.7022933333337</v>
      </c>
      <c r="T15" s="13">
        <v>132</v>
      </c>
      <c r="U15" s="14">
        <f t="shared" si="11"/>
        <v>528</v>
      </c>
      <c r="V15" s="14">
        <f t="shared" si="12"/>
        <v>20684.858773333333</v>
      </c>
      <c r="W15" s="17">
        <f t="shared" si="13"/>
        <v>4</v>
      </c>
      <c r="X15" s="14">
        <v>504</v>
      </c>
      <c r="Y15" s="14">
        <f t="shared" si="14"/>
        <v>2016</v>
      </c>
      <c r="Z15" s="12">
        <f t="shared" ref="Z15:Z20" si="22">C15</f>
        <v>4</v>
      </c>
      <c r="AA15" s="18">
        <v>132</v>
      </c>
      <c r="AB15" s="13">
        <f t="shared" si="15"/>
        <v>528</v>
      </c>
      <c r="AC15" s="12">
        <f t="shared" si="16"/>
        <v>4</v>
      </c>
      <c r="AD15" s="18">
        <v>313</v>
      </c>
      <c r="AE15" s="13">
        <f t="shared" si="17"/>
        <v>1252</v>
      </c>
      <c r="AF15" s="14">
        <f t="shared" si="18"/>
        <v>23952.858773333333</v>
      </c>
    </row>
    <row r="16" spans="1:32" x14ac:dyDescent="0.3">
      <c r="A16" s="11" t="e">
        <f>VPTA!#REF!</f>
        <v>#REF!</v>
      </c>
      <c r="B16" s="12" t="e">
        <f>VLOOKUP(A16,VPTA!A:K,2,FALSE)</f>
        <v>#REF!</v>
      </c>
      <c r="C16" s="12" t="e">
        <f>VLOOKUP(A16,VPTA!A:K,3,FALSE)</f>
        <v>#REF!</v>
      </c>
      <c r="D16" s="13" t="e">
        <f>VLOOKUP(A16,VPTA!A:K,4,FALSE)</f>
        <v>#REF!</v>
      </c>
      <c r="E16" s="10"/>
      <c r="F16" s="14" t="e">
        <f t="shared" si="0"/>
        <v>#REF!</v>
      </c>
      <c r="G16" s="14" t="e">
        <f t="shared" si="1"/>
        <v>#REF!</v>
      </c>
      <c r="H16" s="14" t="e">
        <f t="shared" si="2"/>
        <v>#REF!</v>
      </c>
      <c r="I16" s="14" t="e">
        <f t="shared" si="3"/>
        <v>#REF!</v>
      </c>
      <c r="J16" s="14" t="e">
        <f t="shared" si="4"/>
        <v>#REF!</v>
      </c>
      <c r="K16" s="14" t="e">
        <f t="shared" si="5"/>
        <v>#REF!</v>
      </c>
      <c r="L16" s="14" t="e">
        <f t="shared" si="6"/>
        <v>#REF!</v>
      </c>
      <c r="M16" s="14" t="e">
        <f t="shared" si="19"/>
        <v>#REF!</v>
      </c>
      <c r="N16" s="14" t="e">
        <f t="shared" si="7"/>
        <v>#REF!</v>
      </c>
      <c r="O16" s="14" t="e">
        <f t="shared" si="8"/>
        <v>#REF!</v>
      </c>
      <c r="P16" s="14" t="e">
        <f t="shared" si="20"/>
        <v>#REF!</v>
      </c>
      <c r="Q16" s="14" t="e">
        <f t="shared" si="21"/>
        <v>#REF!</v>
      </c>
      <c r="R16" s="14" t="e">
        <f t="shared" si="9"/>
        <v>#REF!</v>
      </c>
      <c r="S16" s="14" t="e">
        <f t="shared" si="10"/>
        <v>#REF!</v>
      </c>
      <c r="T16" s="13">
        <v>132</v>
      </c>
      <c r="U16" s="14" t="e">
        <f t="shared" si="11"/>
        <v>#REF!</v>
      </c>
      <c r="V16" s="14" t="e">
        <f t="shared" si="12"/>
        <v>#REF!</v>
      </c>
      <c r="W16" s="17" t="e">
        <f t="shared" si="13"/>
        <v>#REF!</v>
      </c>
      <c r="X16" s="14">
        <v>504</v>
      </c>
      <c r="Y16" s="14" t="e">
        <f t="shared" si="14"/>
        <v>#REF!</v>
      </c>
      <c r="Z16" s="12" t="e">
        <f t="shared" si="22"/>
        <v>#REF!</v>
      </c>
      <c r="AA16" s="18">
        <v>132</v>
      </c>
      <c r="AB16" s="13" t="e">
        <f t="shared" si="15"/>
        <v>#REF!</v>
      </c>
      <c r="AC16" s="12" t="e">
        <f t="shared" si="16"/>
        <v>#REF!</v>
      </c>
      <c r="AD16" s="18">
        <v>313</v>
      </c>
      <c r="AE16" s="13" t="e">
        <f t="shared" si="17"/>
        <v>#REF!</v>
      </c>
      <c r="AF16" s="14" t="e">
        <f t="shared" si="18"/>
        <v>#REF!</v>
      </c>
    </row>
    <row r="17" spans="1:32" s="6" customFormat="1" x14ac:dyDescent="0.3">
      <c r="A17" s="11" t="e">
        <f>VPTA!#REF!</f>
        <v>#REF!</v>
      </c>
      <c r="B17" s="12" t="e">
        <f>VLOOKUP(A17,VPTA!A:K,2,FALSE)</f>
        <v>#REF!</v>
      </c>
      <c r="C17" s="12" t="e">
        <f>VLOOKUP(A17,VPTA!A:K,3,FALSE)</f>
        <v>#REF!</v>
      </c>
      <c r="D17" s="13" t="e">
        <f>VLOOKUP(A17,VPTA!A:K,4,FALSE)</f>
        <v>#REF!</v>
      </c>
      <c r="E17" s="13"/>
      <c r="F17" s="14" t="e">
        <f t="shared" si="0"/>
        <v>#REF!</v>
      </c>
      <c r="G17" s="14" t="e">
        <f t="shared" si="1"/>
        <v>#REF!</v>
      </c>
      <c r="H17" s="14" t="e">
        <f t="shared" si="2"/>
        <v>#REF!</v>
      </c>
      <c r="I17" s="14" t="e">
        <f t="shared" si="3"/>
        <v>#REF!</v>
      </c>
      <c r="J17" s="14" t="e">
        <f t="shared" si="4"/>
        <v>#REF!</v>
      </c>
      <c r="K17" s="14" t="e">
        <f t="shared" si="5"/>
        <v>#REF!</v>
      </c>
      <c r="L17" s="14" t="e">
        <f t="shared" si="6"/>
        <v>#REF!</v>
      </c>
      <c r="M17" s="14" t="e">
        <f t="shared" si="19"/>
        <v>#REF!</v>
      </c>
      <c r="N17" s="14" t="e">
        <f t="shared" si="7"/>
        <v>#REF!</v>
      </c>
      <c r="O17" s="14" t="e">
        <f t="shared" si="8"/>
        <v>#REF!</v>
      </c>
      <c r="P17" s="14" t="e">
        <f t="shared" si="20"/>
        <v>#REF!</v>
      </c>
      <c r="Q17" s="14" t="e">
        <f t="shared" si="21"/>
        <v>#REF!</v>
      </c>
      <c r="R17" s="14" t="e">
        <f t="shared" si="9"/>
        <v>#REF!</v>
      </c>
      <c r="S17" s="14" t="e">
        <f t="shared" si="10"/>
        <v>#REF!</v>
      </c>
      <c r="T17" s="13">
        <v>132</v>
      </c>
      <c r="U17" s="14" t="e">
        <f t="shared" si="11"/>
        <v>#REF!</v>
      </c>
      <c r="V17" s="14" t="e">
        <f t="shared" si="12"/>
        <v>#REF!</v>
      </c>
      <c r="W17" s="17" t="e">
        <f t="shared" si="13"/>
        <v>#REF!</v>
      </c>
      <c r="X17" s="14">
        <v>504</v>
      </c>
      <c r="Y17" s="14" t="e">
        <f t="shared" si="14"/>
        <v>#REF!</v>
      </c>
      <c r="Z17" s="12" t="e">
        <f t="shared" si="22"/>
        <v>#REF!</v>
      </c>
      <c r="AA17" s="18">
        <v>132</v>
      </c>
      <c r="AB17" s="13" t="e">
        <f t="shared" si="15"/>
        <v>#REF!</v>
      </c>
      <c r="AC17" s="12" t="e">
        <f t="shared" si="16"/>
        <v>#REF!</v>
      </c>
      <c r="AD17" s="18">
        <v>313</v>
      </c>
      <c r="AE17" s="13" t="e">
        <f t="shared" si="17"/>
        <v>#REF!</v>
      </c>
      <c r="AF17" s="14" t="e">
        <f t="shared" si="18"/>
        <v>#REF!</v>
      </c>
    </row>
    <row r="18" spans="1:32" s="6" customFormat="1" x14ac:dyDescent="0.3">
      <c r="A18" s="11" t="str">
        <f>VPTA!A17</f>
        <v>COZINHEIRA</v>
      </c>
      <c r="B18" s="12">
        <f>VLOOKUP(A18,VPTA!A:K,2,FALSE)</f>
        <v>40</v>
      </c>
      <c r="C18" s="12">
        <f>VLOOKUP(A18,VPTA!A:K,3,FALSE)</f>
        <v>1</v>
      </c>
      <c r="D18" s="13">
        <f>VLOOKUP(A18,VPTA!A:K,4,FALSE)</f>
        <v>1256.3699999999999</v>
      </c>
      <c r="E18" s="13"/>
      <c r="F18" s="14">
        <f>SUM(D18:E18)*C18</f>
        <v>1256.3699999999999</v>
      </c>
      <c r="G18" s="14">
        <f t="shared" si="1"/>
        <v>100.50959999999999</v>
      </c>
      <c r="H18" s="14">
        <f>(F18*5.8%)+(F18*20%)</f>
        <v>324.14346</v>
      </c>
      <c r="I18" s="14">
        <f>F18/12</f>
        <v>104.69749999999999</v>
      </c>
      <c r="J18" s="14">
        <f t="shared" si="4"/>
        <v>29.105905</v>
      </c>
      <c r="K18" s="14">
        <f>I18*8%</f>
        <v>8.3757999999999999</v>
      </c>
      <c r="L18" s="14">
        <f>F18/12</f>
        <v>104.69749999999999</v>
      </c>
      <c r="M18" s="14">
        <f>L18/3</f>
        <v>34.899166666666666</v>
      </c>
      <c r="N18" s="14">
        <f>(L18+M18)*27.8%</f>
        <v>38.807873333333333</v>
      </c>
      <c r="O18" s="14">
        <f>(L18+M18)*8%</f>
        <v>11.167733333333333</v>
      </c>
      <c r="P18" s="14">
        <f>F18/12</f>
        <v>104.69749999999999</v>
      </c>
      <c r="Q18" s="14">
        <f>((G18+K18+O18)*50%)</f>
        <v>60.02656666666666</v>
      </c>
      <c r="R18" s="14">
        <f>(F18+I18+L18+M18+P18)*1%</f>
        <v>16.053616666666663</v>
      </c>
      <c r="S18" s="14">
        <f t="shared" si="10"/>
        <v>512.52916166666671</v>
      </c>
      <c r="T18" s="13">
        <v>132</v>
      </c>
      <c r="U18" s="14">
        <f t="shared" si="11"/>
        <v>132</v>
      </c>
      <c r="V18" s="14">
        <f t="shared" si="12"/>
        <v>2325.5522216666668</v>
      </c>
      <c r="W18" s="17">
        <f t="shared" si="13"/>
        <v>1</v>
      </c>
      <c r="X18" s="14">
        <v>504</v>
      </c>
      <c r="Y18" s="14">
        <f t="shared" si="14"/>
        <v>504</v>
      </c>
      <c r="Z18" s="12">
        <f>C18</f>
        <v>1</v>
      </c>
      <c r="AA18" s="18">
        <v>132</v>
      </c>
      <c r="AB18" s="13">
        <f>AA18*Z18</f>
        <v>132</v>
      </c>
      <c r="AC18" s="12">
        <f t="shared" si="16"/>
        <v>1</v>
      </c>
      <c r="AD18" s="18">
        <v>313</v>
      </c>
      <c r="AE18" s="13">
        <f t="shared" si="17"/>
        <v>313</v>
      </c>
      <c r="AF18" s="14">
        <f>V18+AE18+Y18</f>
        <v>3142.5522216666668</v>
      </c>
    </row>
    <row r="19" spans="1:32" s="6" customFormat="1" x14ac:dyDescent="0.3">
      <c r="A19" s="11" t="e">
        <f>VPTA!#REF!</f>
        <v>#REF!</v>
      </c>
      <c r="B19" s="12" t="e">
        <f>VLOOKUP(A19,VPTA!A:K,2,FALSE)</f>
        <v>#REF!</v>
      </c>
      <c r="C19" s="12" t="e">
        <f>VLOOKUP(A19,VPTA!A:K,3,FALSE)</f>
        <v>#REF!</v>
      </c>
      <c r="D19" s="13" t="e">
        <f>VLOOKUP(A19,VPTA!A:K,4,FALSE)</f>
        <v>#REF!</v>
      </c>
      <c r="E19" s="13"/>
      <c r="F19" s="14" t="e">
        <f t="shared" si="0"/>
        <v>#REF!</v>
      </c>
      <c r="G19" s="14" t="e">
        <f t="shared" si="1"/>
        <v>#REF!</v>
      </c>
      <c r="H19" s="14" t="e">
        <f t="shared" si="2"/>
        <v>#REF!</v>
      </c>
      <c r="I19" s="14" t="e">
        <f t="shared" si="3"/>
        <v>#REF!</v>
      </c>
      <c r="J19" s="14" t="e">
        <f t="shared" si="4"/>
        <v>#REF!</v>
      </c>
      <c r="K19" s="14" t="e">
        <f t="shared" si="5"/>
        <v>#REF!</v>
      </c>
      <c r="L19" s="14" t="e">
        <f t="shared" si="6"/>
        <v>#REF!</v>
      </c>
      <c r="M19" s="14" t="e">
        <f t="shared" si="19"/>
        <v>#REF!</v>
      </c>
      <c r="N19" s="14" t="e">
        <f t="shared" si="7"/>
        <v>#REF!</v>
      </c>
      <c r="O19" s="14" t="e">
        <f t="shared" si="8"/>
        <v>#REF!</v>
      </c>
      <c r="P19" s="14" t="e">
        <f t="shared" si="20"/>
        <v>#REF!</v>
      </c>
      <c r="Q19" s="14" t="e">
        <f t="shared" si="21"/>
        <v>#REF!</v>
      </c>
      <c r="R19" s="14" t="e">
        <f t="shared" si="9"/>
        <v>#REF!</v>
      </c>
      <c r="S19" s="14" t="e">
        <f t="shared" si="10"/>
        <v>#REF!</v>
      </c>
      <c r="T19" s="13">
        <v>132</v>
      </c>
      <c r="U19" s="14" t="e">
        <f t="shared" si="11"/>
        <v>#REF!</v>
      </c>
      <c r="V19" s="14" t="e">
        <f t="shared" si="12"/>
        <v>#REF!</v>
      </c>
      <c r="W19" s="17" t="e">
        <f t="shared" si="13"/>
        <v>#REF!</v>
      </c>
      <c r="X19" s="14">
        <v>504</v>
      </c>
      <c r="Y19" s="14" t="e">
        <f t="shared" si="14"/>
        <v>#REF!</v>
      </c>
      <c r="Z19" s="12" t="e">
        <f t="shared" si="22"/>
        <v>#REF!</v>
      </c>
      <c r="AA19" s="18">
        <v>132</v>
      </c>
      <c r="AB19" s="13" t="e">
        <f t="shared" si="15"/>
        <v>#REF!</v>
      </c>
      <c r="AC19" s="12" t="e">
        <f t="shared" si="16"/>
        <v>#REF!</v>
      </c>
      <c r="AD19" s="18">
        <v>313</v>
      </c>
      <c r="AE19" s="13" t="e">
        <f t="shared" si="17"/>
        <v>#REF!</v>
      </c>
      <c r="AF19" s="14" t="e">
        <f t="shared" si="18"/>
        <v>#REF!</v>
      </c>
    </row>
    <row r="20" spans="1:32" s="6" customFormat="1" x14ac:dyDescent="0.3">
      <c r="A20" s="11" t="e">
        <f>VPTA!#REF!</f>
        <v>#REF!</v>
      </c>
      <c r="B20" s="12" t="e">
        <f>VLOOKUP(A20,VPTA!A:K,2,FALSE)</f>
        <v>#REF!</v>
      </c>
      <c r="C20" s="12" t="e">
        <f>VLOOKUP(A20,VPTA!A:K,3,FALSE)</f>
        <v>#REF!</v>
      </c>
      <c r="D20" s="13" t="e">
        <f>VLOOKUP(A20,VPTA!A:K,4,FALSE)</f>
        <v>#REF!</v>
      </c>
      <c r="E20" s="13"/>
      <c r="F20" s="14" t="e">
        <f>SUM(D20:E20)*C20</f>
        <v>#REF!</v>
      </c>
      <c r="G20" s="14" t="e">
        <f t="shared" si="1"/>
        <v>#REF!</v>
      </c>
      <c r="H20" s="14" t="e">
        <f>(F20*5.8%)+(F20*20%)</f>
        <v>#REF!</v>
      </c>
      <c r="I20" s="14" t="e">
        <f>F20/12</f>
        <v>#REF!</v>
      </c>
      <c r="J20" s="14" t="e">
        <f t="shared" si="4"/>
        <v>#REF!</v>
      </c>
      <c r="K20" s="14" t="e">
        <f>I20*8%</f>
        <v>#REF!</v>
      </c>
      <c r="L20" s="14" t="e">
        <f>F20/12</f>
        <v>#REF!</v>
      </c>
      <c r="M20" s="14" t="e">
        <f t="shared" si="19"/>
        <v>#REF!</v>
      </c>
      <c r="N20" s="14" t="e">
        <f>(L20+M20)*27.8%</f>
        <v>#REF!</v>
      </c>
      <c r="O20" s="14" t="e">
        <f>(L20+M20)*8%</f>
        <v>#REF!</v>
      </c>
      <c r="P20" s="14" t="e">
        <f t="shared" si="20"/>
        <v>#REF!</v>
      </c>
      <c r="Q20" s="14" t="e">
        <f t="shared" si="21"/>
        <v>#REF!</v>
      </c>
      <c r="R20" s="14" t="e">
        <f>(F20+I20+L20+M20+P20)*1%</f>
        <v>#REF!</v>
      </c>
      <c r="S20" s="14" t="e">
        <f t="shared" si="10"/>
        <v>#REF!</v>
      </c>
      <c r="T20" s="13">
        <v>132</v>
      </c>
      <c r="U20" s="14" t="e">
        <f t="shared" si="11"/>
        <v>#REF!</v>
      </c>
      <c r="V20" s="14" t="e">
        <f t="shared" si="12"/>
        <v>#REF!</v>
      </c>
      <c r="W20" s="17" t="e">
        <f t="shared" si="13"/>
        <v>#REF!</v>
      </c>
      <c r="X20" s="14">
        <v>504</v>
      </c>
      <c r="Y20" s="14" t="e">
        <f t="shared" si="14"/>
        <v>#REF!</v>
      </c>
      <c r="Z20" s="12" t="e">
        <f t="shared" si="22"/>
        <v>#REF!</v>
      </c>
      <c r="AA20" s="18">
        <v>132</v>
      </c>
      <c r="AB20" s="13" t="e">
        <f t="shared" si="15"/>
        <v>#REF!</v>
      </c>
      <c r="AC20" s="12" t="e">
        <f>C20</f>
        <v>#REF!</v>
      </c>
      <c r="AD20" s="18">
        <v>313</v>
      </c>
      <c r="AE20" s="13" t="e">
        <f t="shared" si="17"/>
        <v>#REF!</v>
      </c>
      <c r="AF20" s="14" t="e">
        <f t="shared" si="18"/>
        <v>#REF!</v>
      </c>
    </row>
    <row r="21" spans="1:32" s="6" customFormat="1" x14ac:dyDescent="0.3"/>
    <row r="22" spans="1:32" x14ac:dyDescent="0.3">
      <c r="A22" s="22" t="s">
        <v>60</v>
      </c>
      <c r="B22" s="22"/>
      <c r="C22" s="23" t="e">
        <f t="shared" ref="C22:S22" si="23">SUM(C13:C20)</f>
        <v>#REF!</v>
      </c>
      <c r="D22" s="24" t="e">
        <f t="shared" si="23"/>
        <v>#REF!</v>
      </c>
      <c r="E22" s="24">
        <f t="shared" si="23"/>
        <v>0</v>
      </c>
      <c r="F22" s="24" t="e">
        <f t="shared" si="23"/>
        <v>#REF!</v>
      </c>
      <c r="G22" s="24" t="e">
        <f t="shared" si="23"/>
        <v>#REF!</v>
      </c>
      <c r="H22" s="24" t="e">
        <f t="shared" si="23"/>
        <v>#REF!</v>
      </c>
      <c r="I22" s="24" t="e">
        <f t="shared" si="23"/>
        <v>#REF!</v>
      </c>
      <c r="J22" s="24" t="e">
        <f t="shared" si="23"/>
        <v>#REF!</v>
      </c>
      <c r="K22" s="24" t="e">
        <f t="shared" si="23"/>
        <v>#REF!</v>
      </c>
      <c r="L22" s="24" t="e">
        <f t="shared" si="23"/>
        <v>#REF!</v>
      </c>
      <c r="M22" s="24" t="e">
        <f t="shared" si="23"/>
        <v>#REF!</v>
      </c>
      <c r="N22" s="24" t="e">
        <f t="shared" si="23"/>
        <v>#REF!</v>
      </c>
      <c r="O22" s="24" t="e">
        <f t="shared" si="23"/>
        <v>#REF!</v>
      </c>
      <c r="P22" s="24" t="e">
        <f t="shared" si="23"/>
        <v>#REF!</v>
      </c>
      <c r="Q22" s="24" t="e">
        <f t="shared" si="23"/>
        <v>#REF!</v>
      </c>
      <c r="R22" s="24" t="e">
        <f t="shared" si="23"/>
        <v>#REF!</v>
      </c>
      <c r="S22" s="24" t="e">
        <f t="shared" si="23"/>
        <v>#REF!</v>
      </c>
      <c r="T22" s="22"/>
      <c r="U22" s="24" t="e">
        <f>SUM(U13:U20)</f>
        <v>#REF!</v>
      </c>
      <c r="V22" s="24"/>
      <c r="W22" s="22"/>
      <c r="X22" s="22"/>
      <c r="Y22" s="24" t="e">
        <f>SUM(Y13:Y20)</f>
        <v>#REF!</v>
      </c>
      <c r="Z22" s="24"/>
      <c r="AA22" s="24"/>
      <c r="AB22" s="24" t="e">
        <f>SUM(AB13:AB21)</f>
        <v>#REF!</v>
      </c>
      <c r="AC22" s="22"/>
      <c r="AD22" s="22"/>
      <c r="AE22" s="24" t="e">
        <f>SUM(AE13:AE20)</f>
        <v>#REF!</v>
      </c>
      <c r="AF22" s="24" t="e">
        <f>SUM(AF13:AF20)</f>
        <v>#REF!</v>
      </c>
    </row>
    <row r="23" spans="1:32" hidden="1" x14ac:dyDescent="0.3">
      <c r="E23" t="s">
        <v>61</v>
      </c>
      <c r="F23" t="s">
        <v>62</v>
      </c>
      <c r="G23" t="s">
        <v>63</v>
      </c>
      <c r="H23" t="s">
        <v>63</v>
      </c>
      <c r="I23" t="s">
        <v>61</v>
      </c>
      <c r="J23" t="s">
        <v>63</v>
      </c>
      <c r="K23" t="s">
        <v>63</v>
      </c>
      <c r="L23" t="s">
        <v>61</v>
      </c>
      <c r="M23" t="s">
        <v>61</v>
      </c>
      <c r="N23" t="s">
        <v>63</v>
      </c>
      <c r="O23" t="s">
        <v>63</v>
      </c>
      <c r="P23" t="s">
        <v>61</v>
      </c>
      <c r="Q23" t="s">
        <v>63</v>
      </c>
      <c r="R23" t="s">
        <v>63</v>
      </c>
      <c r="U23" t="s">
        <v>64</v>
      </c>
      <c r="Y23" t="s">
        <v>64</v>
      </c>
      <c r="AE23" t="s">
        <v>64</v>
      </c>
      <c r="AF23" s="8" t="e">
        <f>AE22+U22+S22+H22+G22+F22+Y22</f>
        <v>#REF!</v>
      </c>
    </row>
    <row r="24" spans="1:32" ht="1.5" customHeight="1" x14ac:dyDescent="0.3">
      <c r="E24" s="8"/>
      <c r="AE24" t="s">
        <v>63</v>
      </c>
      <c r="AF24" s="8" t="e">
        <f>R22+Q22+O22+N22+K22+J22+H22+G22</f>
        <v>#REF!</v>
      </c>
    </row>
    <row r="25" spans="1:32" ht="2.25" customHeight="1" x14ac:dyDescent="0.3">
      <c r="E25" s="8"/>
      <c r="AE25" t="s">
        <v>61</v>
      </c>
      <c r="AF25" s="8" t="e">
        <f>P22+M22+L22+I22+AE22</f>
        <v>#REF!</v>
      </c>
    </row>
    <row r="26" spans="1:32" x14ac:dyDescent="0.3">
      <c r="E26" s="8"/>
    </row>
    <row r="27" spans="1:32" x14ac:dyDescent="0.3">
      <c r="E27" s="8"/>
    </row>
    <row r="28" spans="1:32" x14ac:dyDescent="0.3">
      <c r="E28" s="8"/>
    </row>
    <row r="29" spans="1:32" x14ac:dyDescent="0.3">
      <c r="E29" s="8"/>
    </row>
    <row r="30" spans="1:32" x14ac:dyDescent="0.3">
      <c r="E30" s="8"/>
    </row>
    <row r="31" spans="1:32" x14ac:dyDescent="0.3">
      <c r="E31" s="8"/>
    </row>
    <row r="32" spans="1:32" x14ac:dyDescent="0.3">
      <c r="E32" s="8"/>
    </row>
    <row r="33" spans="5:5" x14ac:dyDescent="0.3">
      <c r="E33" s="8"/>
    </row>
  </sheetData>
  <mergeCells count="18">
    <mergeCell ref="A10:AF10"/>
    <mergeCell ref="A2:AF2"/>
    <mergeCell ref="A5:AF5"/>
    <mergeCell ref="A3:AF3"/>
    <mergeCell ref="A4:AF4"/>
    <mergeCell ref="AF11:AF12"/>
    <mergeCell ref="AC11:AE11"/>
    <mergeCell ref="A11:A12"/>
    <mergeCell ref="B11:B12"/>
    <mergeCell ref="C11:C12"/>
    <mergeCell ref="D11:D12"/>
    <mergeCell ref="T11:U11"/>
    <mergeCell ref="G11:Q11"/>
    <mergeCell ref="W11:Y11"/>
    <mergeCell ref="S11:S12"/>
    <mergeCell ref="E11:E12"/>
    <mergeCell ref="F11:F12"/>
    <mergeCell ref="Z11:AB11"/>
  </mergeCells>
  <phoneticPr fontId="4" type="noConversion"/>
  <pageMargins left="0.39370078740157483" right="0.39370078740157483" top="0.39370078740157483" bottom="0.39370078740157483" header="0.39370078740157483" footer="0.39370078740157483"/>
  <pageSetup paperSize="9" scale="6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A35"/>
  <sheetViews>
    <sheetView topLeftCell="A13" zoomScaleNormal="100" workbookViewId="0">
      <selection activeCell="G17" sqref="G17"/>
    </sheetView>
  </sheetViews>
  <sheetFormatPr defaultColWidth="8.88671875" defaultRowHeight="14.4" x14ac:dyDescent="0.3"/>
  <cols>
    <col min="1" max="1" width="2.6640625" style="1" customWidth="1"/>
    <col min="2" max="2" width="7.44140625" style="1" bestFit="1" customWidth="1"/>
    <col min="3" max="3" width="59.5546875" style="1" customWidth="1"/>
    <col min="4" max="4" width="9.77734375" style="1" bestFit="1" customWidth="1"/>
    <col min="5" max="5" width="5.88671875" style="1" bestFit="1" customWidth="1"/>
    <col min="6" max="6" width="10.21875" style="1" bestFit="1" customWidth="1"/>
    <col min="7" max="7" width="15.33203125" style="1" bestFit="1" customWidth="1"/>
    <col min="8" max="8" width="17.88671875" style="1" bestFit="1" customWidth="1"/>
    <col min="9" max="9" width="7" style="1" hidden="1" customWidth="1"/>
    <col min="10" max="10" width="10.88671875" style="1" bestFit="1" customWidth="1"/>
    <col min="11" max="11" width="12.88671875" style="1" customWidth="1"/>
    <col min="12" max="1015" width="8.88671875" style="1"/>
  </cols>
  <sheetData>
    <row r="2" spans="1:1015" ht="18" x14ac:dyDescent="0.35">
      <c r="B2" s="216"/>
      <c r="C2" s="216"/>
      <c r="D2" s="216"/>
      <c r="E2" s="216"/>
      <c r="F2" s="216"/>
      <c r="G2" s="216"/>
    </row>
    <row r="3" spans="1:1015" ht="18" x14ac:dyDescent="0.35">
      <c r="B3" s="216"/>
      <c r="C3" s="216"/>
      <c r="D3" s="216"/>
      <c r="E3" s="216"/>
      <c r="F3" s="216"/>
      <c r="G3" s="216"/>
    </row>
    <row r="4" spans="1:1015" ht="8.1" customHeight="1" x14ac:dyDescent="0.3">
      <c r="B4" s="9"/>
      <c r="C4" s="9"/>
      <c r="D4" s="9"/>
      <c r="E4" s="9"/>
      <c r="F4" s="9"/>
      <c r="G4" s="9"/>
    </row>
    <row r="5" spans="1:1015" ht="15.6" x14ac:dyDescent="0.3">
      <c r="B5" s="218"/>
      <c r="C5" s="218"/>
      <c r="D5" s="218"/>
      <c r="E5" s="218"/>
      <c r="F5" s="218"/>
      <c r="G5" s="218"/>
    </row>
    <row r="6" spans="1:1015" ht="6" customHeight="1" x14ac:dyDescent="0.3"/>
    <row r="7" spans="1:1015" x14ac:dyDescent="0.3">
      <c r="B7" s="217"/>
      <c r="C7" s="217"/>
      <c r="D7" s="217"/>
      <c r="E7" s="217"/>
      <c r="F7" s="217"/>
      <c r="G7" s="217"/>
    </row>
    <row r="8" spans="1:1015" ht="23.4" x14ac:dyDescent="0.45">
      <c r="B8" s="101" t="s">
        <v>201</v>
      </c>
      <c r="C8" s="107"/>
      <c r="D8" s="107"/>
      <c r="E8" s="107"/>
      <c r="F8" s="107"/>
      <c r="G8" s="107"/>
    </row>
    <row r="9" spans="1:1015" ht="23.4" x14ac:dyDescent="0.45">
      <c r="B9" s="103" t="s">
        <v>202</v>
      </c>
      <c r="C9" s="107"/>
      <c r="D9" s="107"/>
      <c r="E9" s="107"/>
      <c r="F9" s="107"/>
      <c r="G9" s="107"/>
    </row>
    <row r="10" spans="1:1015" ht="23.4" x14ac:dyDescent="0.45">
      <c r="B10" s="100" t="s">
        <v>203</v>
      </c>
      <c r="C10" s="107"/>
      <c r="D10" s="107"/>
      <c r="E10" s="107"/>
      <c r="F10" s="107"/>
      <c r="G10" s="107"/>
    </row>
    <row r="11" spans="1:1015" ht="23.4" x14ac:dyDescent="0.45">
      <c r="B11" s="100" t="s">
        <v>204</v>
      </c>
      <c r="C11" s="107"/>
      <c r="D11" s="107"/>
      <c r="E11" s="107"/>
      <c r="F11" s="107"/>
      <c r="G11" s="107"/>
    </row>
    <row r="12" spans="1:1015" x14ac:dyDescent="0.3">
      <c r="B12" s="217"/>
      <c r="C12" s="217"/>
      <c r="D12" s="217"/>
      <c r="E12" s="217"/>
      <c r="F12" s="217"/>
      <c r="G12" s="217"/>
    </row>
    <row r="13" spans="1:1015" ht="15" thickBot="1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</row>
    <row r="14" spans="1:1015" x14ac:dyDescent="0.3">
      <c r="A14"/>
      <c r="B14" s="213" t="s">
        <v>65</v>
      </c>
      <c r="C14" s="214"/>
      <c r="D14" s="214"/>
      <c r="E14" s="214"/>
      <c r="F14" s="214"/>
      <c r="G14" s="214"/>
      <c r="H14" s="21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</row>
    <row r="15" spans="1:1015" ht="15" thickBot="1" x14ac:dyDescent="0.35">
      <c r="A15"/>
      <c r="B15" s="195" t="s">
        <v>66</v>
      </c>
      <c r="C15" s="193"/>
      <c r="D15" s="191"/>
      <c r="E15" s="192"/>
      <c r="F15" s="193"/>
      <c r="G15" s="25" t="s">
        <v>67</v>
      </c>
      <c r="H15" s="26" t="s">
        <v>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</row>
    <row r="16" spans="1:1015" ht="15" customHeight="1" x14ac:dyDescent="0.3">
      <c r="A16"/>
      <c r="B16" s="196" t="s">
        <v>69</v>
      </c>
      <c r="C16" s="197"/>
      <c r="D16" s="200"/>
      <c r="E16" s="201"/>
      <c r="F16" s="202"/>
      <c r="G16" s="27">
        <f>SUM(G17:G20)</f>
        <v>35336.80036899999</v>
      </c>
      <c r="H16" s="28">
        <f>SUM(H17:H20)</f>
        <v>35336.80036899999</v>
      </c>
      <c r="I16" s="35">
        <f>H16/H31</f>
        <v>0.5833249755852925</v>
      </c>
      <c r="J16" s="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</row>
    <row r="17" spans="1:1015" x14ac:dyDescent="0.3">
      <c r="A17"/>
      <c r="B17" s="2" t="s">
        <v>70</v>
      </c>
      <c r="C17" s="3" t="s">
        <v>71</v>
      </c>
      <c r="D17" s="203"/>
      <c r="E17" s="204"/>
      <c r="F17" s="205"/>
      <c r="G17" s="15">
        <f>VPTA!F21</f>
        <v>23352.736799999995</v>
      </c>
      <c r="H17" s="19">
        <f>G17</f>
        <v>23352.736799999995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</row>
    <row r="18" spans="1:1015" x14ac:dyDescent="0.3">
      <c r="A18"/>
      <c r="B18" s="2" t="s">
        <v>72</v>
      </c>
      <c r="C18" s="3" t="s">
        <v>73</v>
      </c>
      <c r="D18" s="203"/>
      <c r="E18" s="204"/>
      <c r="F18" s="205"/>
      <c r="G18" s="15">
        <f>VPTA!I21+VPTA!J21+VPTA!K21</f>
        <v>317.35000000000002</v>
      </c>
      <c r="H18" s="19">
        <f>G18</f>
        <v>317.35000000000002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</row>
    <row r="19" spans="1:1015" x14ac:dyDescent="0.3">
      <c r="A19"/>
      <c r="B19" s="2" t="s">
        <v>74</v>
      </c>
      <c r="C19" s="3" t="s">
        <v>75</v>
      </c>
      <c r="D19" s="203"/>
      <c r="E19" s="204"/>
      <c r="F19" s="205"/>
      <c r="G19" s="15">
        <f>VPTA!G21</f>
        <v>5684.9923499999986</v>
      </c>
      <c r="H19" s="19">
        <f>G19</f>
        <v>5684.9923499999986</v>
      </c>
      <c r="I19" s="3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</row>
    <row r="20" spans="1:1015" ht="15" thickBot="1" x14ac:dyDescent="0.35">
      <c r="A20"/>
      <c r="B20" s="4" t="s">
        <v>76</v>
      </c>
      <c r="C20" s="5" t="s">
        <v>77</v>
      </c>
      <c r="D20" s="206"/>
      <c r="E20" s="207"/>
      <c r="F20" s="208"/>
      <c r="G20" s="16">
        <f>VPTA!H21</f>
        <v>5981.721219</v>
      </c>
      <c r="H20" s="20">
        <f>G20</f>
        <v>5981.721219</v>
      </c>
      <c r="I20" s="38"/>
      <c r="J20" s="3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</row>
    <row r="21" spans="1:1015" ht="15.75" customHeight="1" thickTop="1" x14ac:dyDescent="0.3">
      <c r="A21"/>
      <c r="B21" s="198" t="s">
        <v>78</v>
      </c>
      <c r="C21" s="199"/>
      <c r="D21" s="29" t="s">
        <v>79</v>
      </c>
      <c r="E21" s="29" t="s">
        <v>80</v>
      </c>
      <c r="F21" s="29" t="s">
        <v>81</v>
      </c>
      <c r="G21" s="30">
        <f>SUM(G22:G28)</f>
        <v>25241.440000000002</v>
      </c>
      <c r="H21" s="31">
        <f>G21</f>
        <v>25241.440000000002</v>
      </c>
      <c r="I21" s="38">
        <f>H21/H31</f>
        <v>0.41667503050600352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</row>
    <row r="22" spans="1:1015" x14ac:dyDescent="0.3">
      <c r="A22"/>
      <c r="B22" s="2" t="str">
        <f>'Plano Analitico'!B25</f>
        <v>2.1.</v>
      </c>
      <c r="C22" s="3" t="str">
        <f>'Plano Analitico'!C25</f>
        <v>Merenda (Misturas e Hortifruti)</v>
      </c>
      <c r="D22" s="47" t="s">
        <v>82</v>
      </c>
      <c r="E22" s="47">
        <f>VPTA!B11</f>
        <v>68</v>
      </c>
      <c r="F22" s="15">
        <f>(G22/E22)/22</f>
        <v>0.66844919786096257</v>
      </c>
      <c r="G22" s="15">
        <f>'Plano Analitico'!D25</f>
        <v>1000</v>
      </c>
      <c r="H22" s="19">
        <f t="shared" ref="H22" si="0">G22</f>
        <v>1000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</row>
    <row r="23" spans="1:1015" x14ac:dyDescent="0.3">
      <c r="A23"/>
      <c r="B23" s="2" t="str">
        <f>'Plano Analitico'!B26</f>
        <v>2.2.</v>
      </c>
      <c r="C23" s="3" t="str">
        <f>'Plano Analitico'!C26</f>
        <v>Material de Limpeza / Higiene</v>
      </c>
      <c r="D23" s="47" t="s">
        <v>82</v>
      </c>
      <c r="E23" s="47">
        <f>E22</f>
        <v>68</v>
      </c>
      <c r="F23" s="15">
        <f t="shared" ref="F23:F24" si="1">(G23/E23)/22</f>
        <v>0.66844919786096257</v>
      </c>
      <c r="G23" s="15">
        <f>'Plano Analitico'!D26</f>
        <v>1000</v>
      </c>
      <c r="H23" s="19">
        <f t="shared" ref="H23:H24" si="2">G23</f>
        <v>1000</v>
      </c>
      <c r="I23"/>
      <c r="J23"/>
      <c r="K23" s="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</row>
    <row r="24" spans="1:1015" x14ac:dyDescent="0.3">
      <c r="A24"/>
      <c r="B24" s="2" t="str">
        <f>'Plano Analitico'!B27</f>
        <v>2.3.</v>
      </c>
      <c r="C24" s="3" t="str">
        <f>'Plano Analitico'!C27</f>
        <v>Material de Escritório</v>
      </c>
      <c r="D24" s="47" t="s">
        <v>82</v>
      </c>
      <c r="E24" s="47">
        <f>E22</f>
        <v>68</v>
      </c>
      <c r="F24" s="15">
        <f t="shared" si="1"/>
        <v>0.33422459893048129</v>
      </c>
      <c r="G24" s="15">
        <f>'Plano Analitico'!D27</f>
        <v>500</v>
      </c>
      <c r="H24" s="19">
        <f t="shared" si="2"/>
        <v>500</v>
      </c>
      <c r="I24"/>
      <c r="J24"/>
      <c r="K24" s="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</row>
    <row r="25" spans="1:1015" x14ac:dyDescent="0.3">
      <c r="A25"/>
      <c r="B25" s="2" t="str">
        <f>'Plano Analitico'!B29</f>
        <v>3.1.</v>
      </c>
      <c r="C25" s="3" t="str">
        <f>'Plano Analitico'!C29</f>
        <v>Assessoria Contábil / RH</v>
      </c>
      <c r="D25" s="3"/>
      <c r="E25" s="47"/>
      <c r="F25" s="15"/>
      <c r="G25" s="15">
        <f>'Plano Analitico'!D29</f>
        <v>3500</v>
      </c>
      <c r="H25" s="19">
        <f>G25</f>
        <v>3500</v>
      </c>
      <c r="I25"/>
      <c r="J25"/>
      <c r="K25" s="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</row>
    <row r="26" spans="1:1015" ht="15" thickBot="1" x14ac:dyDescent="0.35">
      <c r="A26"/>
      <c r="B26" s="2" t="str">
        <f>'Plano Analitico'!B30</f>
        <v>3.2.</v>
      </c>
      <c r="C26" s="3" t="str">
        <f>'Plano Analitico'!C30</f>
        <v>Nutricionista</v>
      </c>
      <c r="D26" s="3"/>
      <c r="E26" s="47"/>
      <c r="F26" s="15"/>
      <c r="G26" s="15">
        <f>'Plano Analitico'!D30</f>
        <v>1500</v>
      </c>
      <c r="H26" s="19">
        <f>G26</f>
        <v>1500</v>
      </c>
      <c r="I26"/>
      <c r="J26"/>
      <c r="K26" s="8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</row>
    <row r="27" spans="1:1015" ht="16.5" customHeight="1" thickTop="1" x14ac:dyDescent="0.3">
      <c r="A27"/>
      <c r="B27" s="209" t="s">
        <v>83</v>
      </c>
      <c r="C27" s="210"/>
      <c r="D27" s="29"/>
      <c r="E27" s="29"/>
      <c r="F27" s="29"/>
      <c r="G27" s="95">
        <f>'Plano Analitico'!D32+'Plano Analitico'!D33+'Plano Analitico'!D34+'Plano Analitico'!D35+'Plano Analitico'!D36+'Plano Analitico'!D37+'Plano Analitico'!D38</f>
        <v>14241.44</v>
      </c>
      <c r="H27" s="96">
        <f>G27</f>
        <v>14241.44</v>
      </c>
      <c r="I27"/>
      <c r="J27"/>
      <c r="K27" s="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</row>
    <row r="28" spans="1:1015" ht="15.75" customHeight="1" thickBot="1" x14ac:dyDescent="0.35">
      <c r="A28"/>
      <c r="B28" s="211" t="s">
        <v>84</v>
      </c>
      <c r="C28" s="212"/>
      <c r="D28" s="29"/>
      <c r="E28" s="29"/>
      <c r="F28" s="29"/>
      <c r="G28" s="97">
        <f>'Plano Analitico'!D40</f>
        <v>3500</v>
      </c>
      <c r="H28" s="98">
        <f>G28</f>
        <v>3500</v>
      </c>
      <c r="I28"/>
      <c r="J28"/>
      <c r="K28" s="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</row>
    <row r="29" spans="1:1015" ht="24.75" customHeight="1" thickTop="1" thickBot="1" x14ac:dyDescent="0.35">
      <c r="A29"/>
      <c r="B29" s="194" t="s">
        <v>60</v>
      </c>
      <c r="C29" s="190"/>
      <c r="D29" s="188"/>
      <c r="E29" s="189"/>
      <c r="F29" s="190"/>
      <c r="G29" s="32">
        <f>SUM(G16,G21)</f>
        <v>60578.240368999992</v>
      </c>
      <c r="H29" s="33">
        <f>SUM(H16,H21)</f>
        <v>60578.240368999992</v>
      </c>
      <c r="I29" s="41">
        <f>G29/H31</f>
        <v>1.0000000060912961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</row>
    <row r="30" spans="1:1015" ht="15" thickBot="1" x14ac:dyDescent="0.35"/>
    <row r="31" spans="1:1015" ht="15" thickBot="1" x14ac:dyDescent="0.35">
      <c r="G31" s="36" t="s">
        <v>60</v>
      </c>
      <c r="H31" s="37">
        <f>VPTA!I6+VPTA!I3</f>
        <v>60578.239999999998</v>
      </c>
      <c r="K31" s="40"/>
    </row>
    <row r="32" spans="1:1015" ht="15" thickBot="1" x14ac:dyDescent="0.35">
      <c r="G32" s="7"/>
    </row>
    <row r="33" spans="3:8" ht="16.2" thickBot="1" x14ac:dyDescent="0.35">
      <c r="C33" s="48" t="s">
        <v>26</v>
      </c>
      <c r="D33" s="42"/>
      <c r="E33" s="42"/>
      <c r="F33" s="43"/>
      <c r="G33" s="36" t="s">
        <v>200</v>
      </c>
      <c r="H33" s="164">
        <f>H31-G29</f>
        <v>-3.6899999395245686E-4</v>
      </c>
    </row>
    <row r="34" spans="3:8" ht="15.6" x14ac:dyDescent="0.3">
      <c r="C34" s="48" t="s">
        <v>27</v>
      </c>
      <c r="D34" s="34"/>
      <c r="E34" s="34"/>
      <c r="F34" s="46"/>
      <c r="H34" s="40"/>
    </row>
    <row r="35" spans="3:8" x14ac:dyDescent="0.3">
      <c r="D35" s="44"/>
      <c r="E35" s="44"/>
      <c r="F35" s="45"/>
      <c r="H35" s="40"/>
    </row>
  </sheetData>
  <mergeCells count="19">
    <mergeCell ref="B14:H14"/>
    <mergeCell ref="B2:G2"/>
    <mergeCell ref="B3:G3"/>
    <mergeCell ref="B7:G7"/>
    <mergeCell ref="B12:G12"/>
    <mergeCell ref="B5:G5"/>
    <mergeCell ref="D29:F29"/>
    <mergeCell ref="D15:F15"/>
    <mergeCell ref="B29:C29"/>
    <mergeCell ref="B15:C15"/>
    <mergeCell ref="B16:C16"/>
    <mergeCell ref="B21:C21"/>
    <mergeCell ref="D16:F16"/>
    <mergeCell ref="D17:F17"/>
    <mergeCell ref="D18:F18"/>
    <mergeCell ref="D19:F19"/>
    <mergeCell ref="D20:F20"/>
    <mergeCell ref="B27:C27"/>
    <mergeCell ref="B28:C28"/>
  </mergeCells>
  <phoneticPr fontId="4" type="noConversion"/>
  <pageMargins left="0.39370078740157483" right="0.39370078740157483" top="0.39370078740157483" bottom="0.39370078740157483" header="0.39370078740157483" footer="0.3937007874015748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U59"/>
  <sheetViews>
    <sheetView topLeftCell="B22" zoomScale="50" zoomScaleNormal="50" workbookViewId="0">
      <selection activeCell="D39" sqref="D39:P39"/>
    </sheetView>
  </sheetViews>
  <sheetFormatPr defaultColWidth="4.5546875" defaultRowHeight="80.25" customHeight="1" x14ac:dyDescent="0.4"/>
  <cols>
    <col min="1" max="1" width="2.6640625" style="78" customWidth="1"/>
    <col min="2" max="2" width="7.33203125" style="78" customWidth="1"/>
    <col min="3" max="3" width="96.5546875" style="78" customWidth="1"/>
    <col min="4" max="15" width="22.33203125" style="78" bestFit="1" customWidth="1"/>
    <col min="16" max="16" width="25.33203125" style="79" bestFit="1" customWidth="1"/>
    <col min="17" max="17" width="4.5546875" style="75"/>
    <col min="18" max="1009" width="4.5546875" style="78"/>
    <col min="1010" max="16384" width="4.5546875" style="49"/>
  </cols>
  <sheetData>
    <row r="1" spans="1:1009" ht="18.75" customHeight="1" x14ac:dyDescent="0.4">
      <c r="A1" s="77"/>
      <c r="B1" s="231"/>
      <c r="C1" s="231"/>
    </row>
    <row r="2" spans="1:1009" ht="22.5" customHeight="1" x14ac:dyDescent="0.4">
      <c r="A2" s="77"/>
      <c r="B2" s="231"/>
      <c r="C2" s="231"/>
    </row>
    <row r="3" spans="1:1009" ht="42" customHeight="1" x14ac:dyDescent="0.4">
      <c r="A3" s="77"/>
      <c r="B3" s="231"/>
      <c r="C3" s="231"/>
    </row>
    <row r="4" spans="1:1009" ht="24.75" customHeight="1" x14ac:dyDescent="0.55000000000000004">
      <c r="B4" s="101" t="s">
        <v>201</v>
      </c>
      <c r="C4" s="81"/>
      <c r="H4" s="132">
        <f>E15*20%</f>
        <v>0</v>
      </c>
    </row>
    <row r="5" spans="1:1009" ht="24.75" customHeight="1" x14ac:dyDescent="0.55000000000000004">
      <c r="B5" s="103" t="s">
        <v>202</v>
      </c>
      <c r="C5" s="81"/>
      <c r="H5" s="132">
        <f>E15*80%</f>
        <v>0</v>
      </c>
    </row>
    <row r="6" spans="1:1009" ht="24.75" customHeight="1" x14ac:dyDescent="0.55000000000000004">
      <c r="B6" s="100" t="s">
        <v>203</v>
      </c>
      <c r="C6" s="81"/>
    </row>
    <row r="7" spans="1:1009" ht="24.75" customHeight="1" x14ac:dyDescent="0.55000000000000004">
      <c r="B7" s="100" t="s">
        <v>204</v>
      </c>
      <c r="C7" s="81"/>
    </row>
    <row r="8" spans="1:1009" ht="22.5" customHeight="1" x14ac:dyDescent="0.4">
      <c r="A8" s="49"/>
      <c r="B8" s="219" t="s">
        <v>65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54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</row>
    <row r="9" spans="1:1009" ht="22.5" customHeight="1" thickBot="1" x14ac:dyDescent="0.45">
      <c r="A9" s="49"/>
      <c r="B9" s="228" t="s">
        <v>66</v>
      </c>
      <c r="C9" s="229"/>
      <c r="D9" s="82" t="s">
        <v>85</v>
      </c>
      <c r="E9" s="82" t="s">
        <v>86</v>
      </c>
      <c r="F9" s="82" t="s">
        <v>87</v>
      </c>
      <c r="G9" s="82" t="s">
        <v>88</v>
      </c>
      <c r="H9" s="82" t="s">
        <v>89</v>
      </c>
      <c r="I9" s="82" t="s">
        <v>90</v>
      </c>
      <c r="J9" s="82" t="s">
        <v>91</v>
      </c>
      <c r="K9" s="82" t="s">
        <v>92</v>
      </c>
      <c r="L9" s="82" t="s">
        <v>93</v>
      </c>
      <c r="M9" s="82" t="s">
        <v>94</v>
      </c>
      <c r="N9" s="82" t="s">
        <v>95</v>
      </c>
      <c r="O9" s="82" t="s">
        <v>96</v>
      </c>
      <c r="P9" s="83" t="s">
        <v>60</v>
      </c>
      <c r="Q9" s="54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</row>
    <row r="10" spans="1:1009" ht="22.5" customHeight="1" x14ac:dyDescent="0.4">
      <c r="A10" s="49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84"/>
      <c r="Q10" s="54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</row>
    <row r="11" spans="1:1009" ht="22.5" customHeight="1" x14ac:dyDescent="0.4">
      <c r="A11" s="49"/>
      <c r="B11" s="221" t="s">
        <v>97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54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</row>
    <row r="12" spans="1:1009" ht="22.5" customHeight="1" x14ac:dyDescent="0.5">
      <c r="A12" s="49"/>
      <c r="B12" s="230" t="s">
        <v>98</v>
      </c>
      <c r="C12" s="230"/>
      <c r="D12" s="85">
        <f>SUM(D13:D15)</f>
        <v>60578.239999999998</v>
      </c>
      <c r="E12" s="85">
        <f>SUM(E13:E15)</f>
        <v>60578.239999999998</v>
      </c>
      <c r="F12" s="85">
        <f t="shared" ref="F12:P12" si="0">SUM(F13:F15)</f>
        <v>60578.239999999998</v>
      </c>
      <c r="G12" s="85">
        <f t="shared" si="0"/>
        <v>87620.774999999994</v>
      </c>
      <c r="H12" s="85">
        <f t="shared" si="0"/>
        <v>60578.239999999998</v>
      </c>
      <c r="I12" s="85">
        <f t="shared" si="0"/>
        <v>60578.239999999998</v>
      </c>
      <c r="J12" s="85">
        <f t="shared" si="0"/>
        <v>60578.239999999998</v>
      </c>
      <c r="K12" s="85">
        <f t="shared" si="0"/>
        <v>60578.239999999998</v>
      </c>
      <c r="L12" s="85">
        <f t="shared" si="0"/>
        <v>60578.239999999998</v>
      </c>
      <c r="M12" s="85">
        <f t="shared" si="0"/>
        <v>87620.774999999994</v>
      </c>
      <c r="N12" s="85">
        <f t="shared" si="0"/>
        <v>60578.239999999998</v>
      </c>
      <c r="O12" s="85">
        <f t="shared" si="0"/>
        <v>60578.239999999998</v>
      </c>
      <c r="P12" s="85">
        <f t="shared" si="0"/>
        <v>781023.94999999984</v>
      </c>
      <c r="Q12" s="5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</row>
    <row r="13" spans="1:1009" ht="22.5" customHeight="1" x14ac:dyDescent="0.5">
      <c r="A13" s="49"/>
      <c r="B13" s="230" t="s">
        <v>99</v>
      </c>
      <c r="C13" s="230"/>
      <c r="D13" s="86">
        <f>VPTA!I6</f>
        <v>54085.07</v>
      </c>
      <c r="E13" s="86">
        <f t="shared" ref="E13:O13" si="1">$D$13</f>
        <v>54085.07</v>
      </c>
      <c r="F13" s="86">
        <f t="shared" si="1"/>
        <v>54085.07</v>
      </c>
      <c r="G13" s="86">
        <f t="shared" si="1"/>
        <v>54085.07</v>
      </c>
      <c r="H13" s="86">
        <f t="shared" si="1"/>
        <v>54085.07</v>
      </c>
      <c r="I13" s="86">
        <f t="shared" si="1"/>
        <v>54085.07</v>
      </c>
      <c r="J13" s="86">
        <f t="shared" si="1"/>
        <v>54085.07</v>
      </c>
      <c r="K13" s="86">
        <f t="shared" si="1"/>
        <v>54085.07</v>
      </c>
      <c r="L13" s="86">
        <f t="shared" si="1"/>
        <v>54085.07</v>
      </c>
      <c r="M13" s="86">
        <f t="shared" si="1"/>
        <v>54085.07</v>
      </c>
      <c r="N13" s="86">
        <f t="shared" si="1"/>
        <v>54085.07</v>
      </c>
      <c r="O13" s="86">
        <f t="shared" si="1"/>
        <v>54085.07</v>
      </c>
      <c r="P13" s="86">
        <f>SUM(D13:O13)</f>
        <v>649020.83999999985</v>
      </c>
      <c r="Q13" s="54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</row>
    <row r="14" spans="1:1009" ht="22.5" customHeight="1" x14ac:dyDescent="0.5">
      <c r="A14" s="49"/>
      <c r="B14" s="230" t="s">
        <v>197</v>
      </c>
      <c r="C14" s="230"/>
      <c r="D14" s="86">
        <f>VPTA!I3</f>
        <v>6493.17</v>
      </c>
      <c r="E14" s="86">
        <f>$D$14</f>
        <v>6493.17</v>
      </c>
      <c r="F14" s="86">
        <f t="shared" ref="F14:O14" si="2">$D$14</f>
        <v>6493.17</v>
      </c>
      <c r="G14" s="86">
        <f t="shared" si="2"/>
        <v>6493.17</v>
      </c>
      <c r="H14" s="86">
        <f t="shared" si="2"/>
        <v>6493.17</v>
      </c>
      <c r="I14" s="86">
        <f t="shared" si="2"/>
        <v>6493.17</v>
      </c>
      <c r="J14" s="86">
        <f t="shared" si="2"/>
        <v>6493.17</v>
      </c>
      <c r="K14" s="86">
        <f t="shared" si="2"/>
        <v>6493.17</v>
      </c>
      <c r="L14" s="86">
        <f t="shared" si="2"/>
        <v>6493.17</v>
      </c>
      <c r="M14" s="86">
        <f t="shared" si="2"/>
        <v>6493.17</v>
      </c>
      <c r="N14" s="86">
        <f t="shared" si="2"/>
        <v>6493.17</v>
      </c>
      <c r="O14" s="86">
        <f t="shared" si="2"/>
        <v>6493.17</v>
      </c>
      <c r="P14" s="86">
        <f>SUM(D14:O14)</f>
        <v>77918.039999999994</v>
      </c>
      <c r="Q14" s="54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  <c r="ALH14" s="49"/>
      <c r="ALI14" s="49"/>
      <c r="ALJ14" s="49"/>
      <c r="ALK14" s="49"/>
      <c r="ALL14" s="49"/>
      <c r="ALM14" s="49"/>
      <c r="ALN14" s="49"/>
      <c r="ALO14" s="49"/>
      <c r="ALP14" s="49"/>
      <c r="ALQ14" s="49"/>
      <c r="ALR14" s="49"/>
      <c r="ALS14" s="49"/>
      <c r="ALT14" s="49"/>
      <c r="ALU14" s="49"/>
    </row>
    <row r="15" spans="1:1009" ht="22.5" customHeight="1" x14ac:dyDescent="0.5">
      <c r="A15" s="49"/>
      <c r="B15" s="230" t="s">
        <v>164</v>
      </c>
      <c r="C15" s="230"/>
      <c r="D15" s="86"/>
      <c r="E15" s="86"/>
      <c r="F15" s="86"/>
      <c r="G15" s="86">
        <f>D13/2</f>
        <v>27042.535</v>
      </c>
      <c r="H15" s="86"/>
      <c r="I15" s="86"/>
      <c r="J15" s="86"/>
      <c r="K15" s="86"/>
      <c r="L15" s="86"/>
      <c r="M15" s="86">
        <f>D13/2</f>
        <v>27042.535</v>
      </c>
      <c r="N15" s="86"/>
      <c r="O15" s="86"/>
      <c r="P15" s="86">
        <f>SUM(D15:O15)</f>
        <v>54085.07</v>
      </c>
      <c r="Q15" s="54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  <c r="AAA15" s="49"/>
      <c r="AAB15" s="49"/>
      <c r="AAC15" s="49"/>
      <c r="AAD15" s="49"/>
      <c r="AAE15" s="49"/>
      <c r="AAF15" s="49"/>
      <c r="AAG15" s="49"/>
      <c r="AAH15" s="49"/>
      <c r="AAI15" s="49"/>
      <c r="AAJ15" s="49"/>
      <c r="AAK15" s="49"/>
      <c r="AAL15" s="49"/>
      <c r="AAM15" s="49"/>
      <c r="AAN15" s="49"/>
      <c r="AAO15" s="49"/>
      <c r="AAP15" s="49"/>
      <c r="AAQ15" s="49"/>
      <c r="AAR15" s="49"/>
      <c r="AAS15" s="49"/>
      <c r="AAT15" s="49"/>
      <c r="AAU15" s="49"/>
      <c r="AAV15" s="49"/>
      <c r="AAW15" s="49"/>
      <c r="AAX15" s="49"/>
      <c r="AAY15" s="49"/>
      <c r="AAZ15" s="49"/>
      <c r="ABA15" s="49"/>
      <c r="ABB15" s="49"/>
      <c r="ABC15" s="49"/>
      <c r="ABD15" s="49"/>
      <c r="ABE15" s="49"/>
      <c r="ABF15" s="49"/>
      <c r="ABG15" s="49"/>
      <c r="ABH15" s="49"/>
      <c r="ABI15" s="49"/>
      <c r="ABJ15" s="49"/>
      <c r="ABK15" s="49"/>
      <c r="ABL15" s="49"/>
      <c r="ABM15" s="49"/>
      <c r="ABN15" s="49"/>
      <c r="ABO15" s="49"/>
      <c r="ABP15" s="49"/>
      <c r="ABQ15" s="49"/>
      <c r="ABR15" s="49"/>
      <c r="ABS15" s="49"/>
      <c r="ABT15" s="49"/>
      <c r="ABU15" s="49"/>
      <c r="ABV15" s="49"/>
      <c r="ABW15" s="49"/>
      <c r="ABX15" s="49"/>
      <c r="ABY15" s="49"/>
      <c r="ABZ15" s="49"/>
      <c r="ACA15" s="49"/>
      <c r="ACB15" s="49"/>
      <c r="ACC15" s="49"/>
      <c r="ACD15" s="49"/>
      <c r="ACE15" s="49"/>
      <c r="ACF15" s="49"/>
      <c r="ACG15" s="49"/>
      <c r="ACH15" s="49"/>
      <c r="ACI15" s="49"/>
      <c r="ACJ15" s="49"/>
      <c r="ACK15" s="49"/>
      <c r="ACL15" s="49"/>
      <c r="ACM15" s="49"/>
      <c r="ACN15" s="49"/>
      <c r="ACO15" s="49"/>
      <c r="ACP15" s="49"/>
      <c r="ACQ15" s="49"/>
      <c r="ACR15" s="49"/>
      <c r="ACS15" s="49"/>
      <c r="ACT15" s="49"/>
      <c r="ACU15" s="49"/>
      <c r="ACV15" s="49"/>
      <c r="ACW15" s="49"/>
      <c r="ACX15" s="49"/>
      <c r="ACY15" s="49"/>
      <c r="ACZ15" s="49"/>
      <c r="ADA15" s="49"/>
      <c r="ADB15" s="49"/>
      <c r="ADC15" s="49"/>
      <c r="ADD15" s="49"/>
      <c r="ADE15" s="49"/>
      <c r="ADF15" s="49"/>
      <c r="ADG15" s="49"/>
      <c r="ADH15" s="49"/>
      <c r="ADI15" s="49"/>
      <c r="ADJ15" s="49"/>
      <c r="ADK15" s="49"/>
      <c r="ADL15" s="49"/>
      <c r="ADM15" s="49"/>
      <c r="ADN15" s="49"/>
      <c r="ADO15" s="49"/>
      <c r="ADP15" s="49"/>
      <c r="ADQ15" s="49"/>
      <c r="ADR15" s="49"/>
      <c r="ADS15" s="49"/>
      <c r="ADT15" s="49"/>
      <c r="ADU15" s="49"/>
      <c r="ADV15" s="49"/>
      <c r="ADW15" s="49"/>
      <c r="ADX15" s="49"/>
      <c r="ADY15" s="49"/>
      <c r="ADZ15" s="49"/>
      <c r="AEA15" s="49"/>
      <c r="AEB15" s="49"/>
      <c r="AEC15" s="49"/>
      <c r="AED15" s="49"/>
      <c r="AEE15" s="49"/>
      <c r="AEF15" s="49"/>
      <c r="AEG15" s="49"/>
      <c r="AEH15" s="49"/>
      <c r="AEI15" s="49"/>
      <c r="AEJ15" s="49"/>
      <c r="AEK15" s="49"/>
      <c r="AEL15" s="49"/>
      <c r="AEM15" s="49"/>
      <c r="AEN15" s="49"/>
      <c r="AEO15" s="49"/>
      <c r="AEP15" s="49"/>
      <c r="AEQ15" s="49"/>
      <c r="AER15" s="49"/>
      <c r="AES15" s="49"/>
      <c r="AET15" s="49"/>
      <c r="AEU15" s="49"/>
      <c r="AEV15" s="49"/>
      <c r="AEW15" s="49"/>
      <c r="AEX15" s="49"/>
      <c r="AEY15" s="49"/>
      <c r="AEZ15" s="49"/>
      <c r="AFA15" s="49"/>
      <c r="AFB15" s="49"/>
      <c r="AFC15" s="49"/>
      <c r="AFD15" s="49"/>
      <c r="AFE15" s="49"/>
      <c r="AFF15" s="49"/>
      <c r="AFG15" s="49"/>
      <c r="AFH15" s="49"/>
      <c r="AFI15" s="49"/>
      <c r="AFJ15" s="49"/>
      <c r="AFK15" s="49"/>
      <c r="AFL15" s="49"/>
      <c r="AFM15" s="49"/>
      <c r="AFN15" s="49"/>
      <c r="AFO15" s="49"/>
      <c r="AFP15" s="49"/>
      <c r="AFQ15" s="49"/>
      <c r="AFR15" s="49"/>
      <c r="AFS15" s="49"/>
      <c r="AFT15" s="49"/>
      <c r="AFU15" s="49"/>
      <c r="AFV15" s="49"/>
      <c r="AFW15" s="49"/>
      <c r="AFX15" s="49"/>
      <c r="AFY15" s="49"/>
      <c r="AFZ15" s="49"/>
      <c r="AGA15" s="49"/>
      <c r="AGB15" s="49"/>
      <c r="AGC15" s="49"/>
      <c r="AGD15" s="49"/>
      <c r="AGE15" s="49"/>
      <c r="AGF15" s="49"/>
      <c r="AGG15" s="49"/>
      <c r="AGH15" s="49"/>
      <c r="AGI15" s="49"/>
      <c r="AGJ15" s="49"/>
      <c r="AGK15" s="49"/>
      <c r="AGL15" s="49"/>
      <c r="AGM15" s="49"/>
      <c r="AGN15" s="49"/>
      <c r="AGO15" s="49"/>
      <c r="AGP15" s="49"/>
      <c r="AGQ15" s="49"/>
      <c r="AGR15" s="49"/>
      <c r="AGS15" s="49"/>
      <c r="AGT15" s="49"/>
      <c r="AGU15" s="49"/>
      <c r="AGV15" s="49"/>
      <c r="AGW15" s="49"/>
      <c r="AGX15" s="49"/>
      <c r="AGY15" s="49"/>
      <c r="AGZ15" s="49"/>
      <c r="AHA15" s="49"/>
      <c r="AHB15" s="49"/>
      <c r="AHC15" s="49"/>
      <c r="AHD15" s="49"/>
      <c r="AHE15" s="49"/>
      <c r="AHF15" s="49"/>
      <c r="AHG15" s="49"/>
      <c r="AHH15" s="49"/>
      <c r="AHI15" s="49"/>
      <c r="AHJ15" s="49"/>
      <c r="AHK15" s="49"/>
      <c r="AHL15" s="49"/>
      <c r="AHM15" s="49"/>
      <c r="AHN15" s="49"/>
      <c r="AHO15" s="49"/>
      <c r="AHP15" s="49"/>
      <c r="AHQ15" s="49"/>
      <c r="AHR15" s="49"/>
      <c r="AHS15" s="49"/>
      <c r="AHT15" s="49"/>
      <c r="AHU15" s="49"/>
      <c r="AHV15" s="49"/>
      <c r="AHW15" s="49"/>
      <c r="AHX15" s="49"/>
      <c r="AHY15" s="49"/>
      <c r="AHZ15" s="49"/>
      <c r="AIA15" s="49"/>
      <c r="AIB15" s="49"/>
      <c r="AIC15" s="49"/>
      <c r="AID15" s="49"/>
      <c r="AIE15" s="49"/>
      <c r="AIF15" s="49"/>
      <c r="AIG15" s="49"/>
      <c r="AIH15" s="49"/>
      <c r="AII15" s="49"/>
      <c r="AIJ15" s="49"/>
      <c r="AIK15" s="49"/>
      <c r="AIL15" s="49"/>
      <c r="AIM15" s="49"/>
      <c r="AIN15" s="49"/>
      <c r="AIO15" s="49"/>
      <c r="AIP15" s="49"/>
      <c r="AIQ15" s="49"/>
      <c r="AIR15" s="49"/>
      <c r="AIS15" s="49"/>
      <c r="AIT15" s="49"/>
      <c r="AIU15" s="49"/>
      <c r="AIV15" s="49"/>
      <c r="AIW15" s="49"/>
      <c r="AIX15" s="49"/>
      <c r="AIY15" s="49"/>
      <c r="AIZ15" s="49"/>
      <c r="AJA15" s="49"/>
      <c r="AJB15" s="49"/>
      <c r="AJC15" s="49"/>
      <c r="AJD15" s="49"/>
      <c r="AJE15" s="49"/>
      <c r="AJF15" s="49"/>
      <c r="AJG15" s="49"/>
      <c r="AJH15" s="49"/>
      <c r="AJI15" s="49"/>
      <c r="AJJ15" s="49"/>
      <c r="AJK15" s="49"/>
      <c r="AJL15" s="49"/>
      <c r="AJM15" s="49"/>
      <c r="AJN15" s="49"/>
      <c r="AJO15" s="49"/>
      <c r="AJP15" s="49"/>
      <c r="AJQ15" s="49"/>
      <c r="AJR15" s="49"/>
      <c r="AJS15" s="49"/>
      <c r="AJT15" s="49"/>
      <c r="AJU15" s="49"/>
      <c r="AJV15" s="49"/>
      <c r="AJW15" s="49"/>
      <c r="AJX15" s="49"/>
      <c r="AJY15" s="49"/>
      <c r="AJZ15" s="49"/>
      <c r="AKA15" s="49"/>
      <c r="AKB15" s="49"/>
      <c r="AKC15" s="49"/>
      <c r="AKD15" s="49"/>
      <c r="AKE15" s="49"/>
      <c r="AKF15" s="49"/>
      <c r="AKG15" s="49"/>
      <c r="AKH15" s="49"/>
      <c r="AKI15" s="49"/>
      <c r="AKJ15" s="49"/>
      <c r="AKK15" s="49"/>
      <c r="AKL15" s="49"/>
      <c r="AKM15" s="49"/>
      <c r="AKN15" s="49"/>
      <c r="AKO15" s="49"/>
      <c r="AKP15" s="49"/>
      <c r="AKQ15" s="49"/>
      <c r="AKR15" s="49"/>
      <c r="AKS15" s="49"/>
      <c r="AKT15" s="49"/>
      <c r="AKU15" s="49"/>
      <c r="AKV15" s="49"/>
      <c r="AKW15" s="49"/>
      <c r="AKX15" s="49"/>
      <c r="AKY15" s="49"/>
      <c r="AKZ15" s="49"/>
      <c r="ALA15" s="49"/>
      <c r="ALB15" s="49"/>
      <c r="ALC15" s="49"/>
      <c r="ALD15" s="49"/>
      <c r="ALE15" s="49"/>
      <c r="ALF15" s="49"/>
      <c r="ALG15" s="49"/>
      <c r="ALH15" s="49"/>
      <c r="ALI15" s="49"/>
      <c r="ALJ15" s="49"/>
      <c r="ALK15" s="49"/>
      <c r="ALL15" s="49"/>
      <c r="ALM15" s="49"/>
      <c r="ALN15" s="49"/>
      <c r="ALO15" s="49"/>
      <c r="ALP15" s="49"/>
      <c r="ALQ15" s="49"/>
      <c r="ALR15" s="49"/>
      <c r="ALS15" s="49"/>
      <c r="ALT15" s="49"/>
      <c r="ALU15" s="49"/>
    </row>
    <row r="16" spans="1:1009" ht="37.5" customHeight="1" x14ac:dyDescent="0.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8"/>
    </row>
    <row r="17" spans="2:17" ht="22.5" customHeight="1" x14ac:dyDescent="0.4">
      <c r="B17" s="223" t="s">
        <v>100</v>
      </c>
      <c r="C17" s="224"/>
      <c r="D17" s="22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7"/>
    </row>
    <row r="18" spans="2:17" ht="22.5" customHeight="1" x14ac:dyDescent="0.4">
      <c r="B18" s="89" t="s">
        <v>101</v>
      </c>
      <c r="C18" s="89" t="s">
        <v>102</v>
      </c>
      <c r="D18" s="22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7"/>
    </row>
    <row r="19" spans="2:17" ht="22.5" customHeight="1" x14ac:dyDescent="0.5">
      <c r="B19" s="90" t="s">
        <v>103</v>
      </c>
      <c r="C19" s="90" t="s">
        <v>104</v>
      </c>
      <c r="D19" s="85">
        <f>VPTA!F21</f>
        <v>23352.736799999995</v>
      </c>
      <c r="E19" s="85">
        <f>$D$19</f>
        <v>23352.736799999995</v>
      </c>
      <c r="F19" s="85">
        <f t="shared" ref="F19:O19" si="3">$D$19</f>
        <v>23352.736799999995</v>
      </c>
      <c r="G19" s="85">
        <f t="shared" si="3"/>
        <v>23352.736799999995</v>
      </c>
      <c r="H19" s="85">
        <f t="shared" si="3"/>
        <v>23352.736799999995</v>
      </c>
      <c r="I19" s="85">
        <f t="shared" si="3"/>
        <v>23352.736799999995</v>
      </c>
      <c r="J19" s="85">
        <f t="shared" si="3"/>
        <v>23352.736799999995</v>
      </c>
      <c r="K19" s="85">
        <f t="shared" si="3"/>
        <v>23352.736799999995</v>
      </c>
      <c r="L19" s="85">
        <f t="shared" si="3"/>
        <v>23352.736799999995</v>
      </c>
      <c r="M19" s="85">
        <f t="shared" si="3"/>
        <v>23352.736799999995</v>
      </c>
      <c r="N19" s="85">
        <f t="shared" si="3"/>
        <v>23352.736799999995</v>
      </c>
      <c r="O19" s="85">
        <f t="shared" si="3"/>
        <v>23352.736799999995</v>
      </c>
      <c r="P19" s="86">
        <f t="shared" ref="P19:P40" si="4">SUM(D19:O19)</f>
        <v>280232.84159999987</v>
      </c>
    </row>
    <row r="20" spans="2:17" ht="22.5" customHeight="1" x14ac:dyDescent="0.5">
      <c r="B20" s="90" t="s">
        <v>105</v>
      </c>
      <c r="C20" s="90" t="s">
        <v>106</v>
      </c>
      <c r="D20" s="91">
        <f>'Plano Orçamentario'!G19</f>
        <v>5684.9923499999986</v>
      </c>
      <c r="E20" s="91">
        <f>$D$20</f>
        <v>5684.9923499999986</v>
      </c>
      <c r="F20" s="91">
        <f t="shared" ref="F20:O20" si="5">$D$20</f>
        <v>5684.9923499999986</v>
      </c>
      <c r="G20" s="91">
        <f t="shared" si="5"/>
        <v>5684.9923499999986</v>
      </c>
      <c r="H20" s="91">
        <f t="shared" si="5"/>
        <v>5684.9923499999986</v>
      </c>
      <c r="I20" s="91">
        <f t="shared" si="5"/>
        <v>5684.9923499999986</v>
      </c>
      <c r="J20" s="91">
        <f t="shared" si="5"/>
        <v>5684.9923499999986</v>
      </c>
      <c r="K20" s="91">
        <f t="shared" si="5"/>
        <v>5684.9923499999986</v>
      </c>
      <c r="L20" s="91">
        <f t="shared" si="5"/>
        <v>5684.9923499999986</v>
      </c>
      <c r="M20" s="91">
        <f t="shared" si="5"/>
        <v>5684.9923499999986</v>
      </c>
      <c r="N20" s="91">
        <f t="shared" si="5"/>
        <v>5684.9923499999986</v>
      </c>
      <c r="O20" s="91">
        <f t="shared" si="5"/>
        <v>5684.9923499999986</v>
      </c>
      <c r="P20" s="86">
        <f t="shared" si="4"/>
        <v>68219.908199999991</v>
      </c>
    </row>
    <row r="21" spans="2:17" ht="22.5" customHeight="1" x14ac:dyDescent="0.5">
      <c r="B21" s="90" t="s">
        <v>107</v>
      </c>
      <c r="C21" s="90" t="s">
        <v>108</v>
      </c>
      <c r="D21" s="92">
        <f>'Plano Orçamentario'!G18</f>
        <v>317.35000000000002</v>
      </c>
      <c r="E21" s="92">
        <f>$D$21</f>
        <v>317.35000000000002</v>
      </c>
      <c r="F21" s="92">
        <f t="shared" ref="F21:O21" si="6">$D$21</f>
        <v>317.35000000000002</v>
      </c>
      <c r="G21" s="92">
        <f t="shared" si="6"/>
        <v>317.35000000000002</v>
      </c>
      <c r="H21" s="92">
        <f t="shared" si="6"/>
        <v>317.35000000000002</v>
      </c>
      <c r="I21" s="92">
        <f t="shared" si="6"/>
        <v>317.35000000000002</v>
      </c>
      <c r="J21" s="92">
        <f t="shared" si="6"/>
        <v>317.35000000000002</v>
      </c>
      <c r="K21" s="92">
        <f t="shared" si="6"/>
        <v>317.35000000000002</v>
      </c>
      <c r="L21" s="92">
        <f t="shared" si="6"/>
        <v>317.35000000000002</v>
      </c>
      <c r="M21" s="92">
        <f t="shared" si="6"/>
        <v>317.35000000000002</v>
      </c>
      <c r="N21" s="92">
        <f t="shared" si="6"/>
        <v>317.35000000000002</v>
      </c>
      <c r="O21" s="92">
        <f t="shared" si="6"/>
        <v>317.35000000000002</v>
      </c>
      <c r="P21" s="86">
        <f t="shared" si="4"/>
        <v>3808.1999999999994</v>
      </c>
    </row>
    <row r="22" spans="2:17" ht="22.5" customHeight="1" x14ac:dyDescent="0.5">
      <c r="B22" s="90" t="s">
        <v>109</v>
      </c>
      <c r="C22" s="90" t="s">
        <v>9</v>
      </c>
      <c r="D22" s="92">
        <f>'Plano Orçamentario'!G20</f>
        <v>5981.721219</v>
      </c>
      <c r="E22" s="92">
        <f>$D$22</f>
        <v>5981.721219</v>
      </c>
      <c r="F22" s="92">
        <f t="shared" ref="F22:O22" si="7">$D$22</f>
        <v>5981.721219</v>
      </c>
      <c r="G22" s="92">
        <f t="shared" si="7"/>
        <v>5981.721219</v>
      </c>
      <c r="H22" s="92">
        <f t="shared" si="7"/>
        <v>5981.721219</v>
      </c>
      <c r="I22" s="92">
        <f t="shared" si="7"/>
        <v>5981.721219</v>
      </c>
      <c r="J22" s="92">
        <f t="shared" si="7"/>
        <v>5981.721219</v>
      </c>
      <c r="K22" s="92">
        <f t="shared" si="7"/>
        <v>5981.721219</v>
      </c>
      <c r="L22" s="92">
        <f t="shared" si="7"/>
        <v>5981.721219</v>
      </c>
      <c r="M22" s="92">
        <f t="shared" si="7"/>
        <v>5981.721219</v>
      </c>
      <c r="N22" s="92">
        <f t="shared" si="7"/>
        <v>5981.721219</v>
      </c>
      <c r="O22" s="92">
        <f t="shared" si="7"/>
        <v>5981.721219</v>
      </c>
      <c r="P22" s="86">
        <f t="shared" si="4"/>
        <v>71780.654628000004</v>
      </c>
      <c r="Q22" s="80"/>
    </row>
    <row r="23" spans="2:17" ht="22.5" customHeight="1" x14ac:dyDescent="0.4">
      <c r="B23" s="223" t="s">
        <v>110</v>
      </c>
      <c r="C23" s="224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</row>
    <row r="24" spans="2:17" ht="22.5" customHeight="1" x14ac:dyDescent="0.4">
      <c r="B24" s="89" t="s">
        <v>111</v>
      </c>
      <c r="C24" s="89" t="s">
        <v>112</v>
      </c>
      <c r="D24" s="232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4"/>
    </row>
    <row r="25" spans="2:17" ht="22.5" customHeight="1" x14ac:dyDescent="0.5">
      <c r="B25" s="90" t="s">
        <v>113</v>
      </c>
      <c r="C25" s="90" t="s">
        <v>155</v>
      </c>
      <c r="D25" s="86">
        <v>1000</v>
      </c>
      <c r="E25" s="86">
        <f>$D$25</f>
        <v>1000</v>
      </c>
      <c r="F25" s="86">
        <f>$D$25</f>
        <v>1000</v>
      </c>
      <c r="G25" s="86">
        <f t="shared" ref="G25:O25" si="8">$D$25</f>
        <v>1000</v>
      </c>
      <c r="H25" s="86">
        <f t="shared" si="8"/>
        <v>1000</v>
      </c>
      <c r="I25" s="86">
        <f t="shared" si="8"/>
        <v>1000</v>
      </c>
      <c r="J25" s="86">
        <f t="shared" si="8"/>
        <v>1000</v>
      </c>
      <c r="K25" s="86">
        <f t="shared" si="8"/>
        <v>1000</v>
      </c>
      <c r="L25" s="86">
        <f t="shared" si="8"/>
        <v>1000</v>
      </c>
      <c r="M25" s="86">
        <f t="shared" si="8"/>
        <v>1000</v>
      </c>
      <c r="N25" s="86">
        <f t="shared" si="8"/>
        <v>1000</v>
      </c>
      <c r="O25" s="86">
        <f t="shared" si="8"/>
        <v>1000</v>
      </c>
      <c r="P25" s="86">
        <f t="shared" si="4"/>
        <v>12000</v>
      </c>
    </row>
    <row r="26" spans="2:17" ht="22.5" customHeight="1" x14ac:dyDescent="0.5">
      <c r="B26" s="90" t="s">
        <v>115</v>
      </c>
      <c r="C26" s="90" t="s">
        <v>114</v>
      </c>
      <c r="D26" s="86">
        <v>1000</v>
      </c>
      <c r="E26" s="86">
        <f>$D$26</f>
        <v>1000</v>
      </c>
      <c r="F26" s="86">
        <f>$D$26</f>
        <v>1000</v>
      </c>
      <c r="G26" s="86">
        <f t="shared" ref="G26:O26" si="9">$D$26</f>
        <v>1000</v>
      </c>
      <c r="H26" s="86">
        <f t="shared" si="9"/>
        <v>1000</v>
      </c>
      <c r="I26" s="86">
        <f t="shared" si="9"/>
        <v>1000</v>
      </c>
      <c r="J26" s="86">
        <f t="shared" si="9"/>
        <v>1000</v>
      </c>
      <c r="K26" s="86">
        <f t="shared" si="9"/>
        <v>1000</v>
      </c>
      <c r="L26" s="86">
        <f t="shared" si="9"/>
        <v>1000</v>
      </c>
      <c r="M26" s="86">
        <f t="shared" si="9"/>
        <v>1000</v>
      </c>
      <c r="N26" s="86">
        <f t="shared" si="9"/>
        <v>1000</v>
      </c>
      <c r="O26" s="86">
        <f t="shared" si="9"/>
        <v>1000</v>
      </c>
      <c r="P26" s="86">
        <f t="shared" ref="P26" si="10">SUM(D26:O26)</f>
        <v>12000</v>
      </c>
    </row>
    <row r="27" spans="2:17" ht="22.5" customHeight="1" x14ac:dyDescent="0.5">
      <c r="B27" s="90" t="s">
        <v>117</v>
      </c>
      <c r="C27" s="90" t="s">
        <v>116</v>
      </c>
      <c r="D27" s="86">
        <v>500</v>
      </c>
      <c r="E27" s="86">
        <f>$D$27</f>
        <v>500</v>
      </c>
      <c r="F27" s="86">
        <f t="shared" ref="F27:O27" si="11">$D$27</f>
        <v>500</v>
      </c>
      <c r="G27" s="86">
        <f t="shared" si="11"/>
        <v>500</v>
      </c>
      <c r="H27" s="86">
        <f t="shared" si="11"/>
        <v>500</v>
      </c>
      <c r="I27" s="86">
        <f t="shared" si="11"/>
        <v>500</v>
      </c>
      <c r="J27" s="86">
        <f t="shared" si="11"/>
        <v>500</v>
      </c>
      <c r="K27" s="86">
        <f t="shared" si="11"/>
        <v>500</v>
      </c>
      <c r="L27" s="86">
        <f t="shared" si="11"/>
        <v>500</v>
      </c>
      <c r="M27" s="86">
        <f t="shared" si="11"/>
        <v>500</v>
      </c>
      <c r="N27" s="86">
        <f t="shared" si="11"/>
        <v>500</v>
      </c>
      <c r="O27" s="86">
        <f t="shared" si="11"/>
        <v>500</v>
      </c>
      <c r="P27" s="86">
        <f>SUM(D27:O27)</f>
        <v>6000</v>
      </c>
    </row>
    <row r="28" spans="2:17" ht="22.5" customHeight="1" x14ac:dyDescent="0.4">
      <c r="B28" s="89" t="s">
        <v>119</v>
      </c>
      <c r="C28" s="89" t="s">
        <v>120</v>
      </c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7"/>
    </row>
    <row r="29" spans="2:17" ht="22.5" customHeight="1" x14ac:dyDescent="0.5">
      <c r="B29" s="90" t="s">
        <v>121</v>
      </c>
      <c r="C29" s="90" t="s">
        <v>122</v>
      </c>
      <c r="D29" s="86">
        <v>3500</v>
      </c>
      <c r="E29" s="86">
        <f>$D$29</f>
        <v>3500</v>
      </c>
      <c r="F29" s="86">
        <f t="shared" ref="F29:O29" si="12">$D$29</f>
        <v>3500</v>
      </c>
      <c r="G29" s="86">
        <f t="shared" si="12"/>
        <v>3500</v>
      </c>
      <c r="H29" s="86">
        <f t="shared" si="12"/>
        <v>3500</v>
      </c>
      <c r="I29" s="86">
        <f t="shared" si="12"/>
        <v>3500</v>
      </c>
      <c r="J29" s="86">
        <f t="shared" si="12"/>
        <v>3500</v>
      </c>
      <c r="K29" s="86">
        <f t="shared" si="12"/>
        <v>3500</v>
      </c>
      <c r="L29" s="86">
        <f t="shared" si="12"/>
        <v>3500</v>
      </c>
      <c r="M29" s="86">
        <f t="shared" si="12"/>
        <v>3500</v>
      </c>
      <c r="N29" s="86">
        <f t="shared" si="12"/>
        <v>3500</v>
      </c>
      <c r="O29" s="86">
        <f t="shared" si="12"/>
        <v>3500</v>
      </c>
      <c r="P29" s="86">
        <f t="shared" ref="P29" si="13">SUM(D29:O29)</f>
        <v>42000</v>
      </c>
    </row>
    <row r="30" spans="2:17" ht="22.5" customHeight="1" x14ac:dyDescent="0.5">
      <c r="B30" s="90" t="s">
        <v>208</v>
      </c>
      <c r="C30" s="90" t="s">
        <v>209</v>
      </c>
      <c r="D30" s="86">
        <v>1500</v>
      </c>
      <c r="E30" s="86">
        <f>$D$30</f>
        <v>1500</v>
      </c>
      <c r="F30" s="86">
        <f t="shared" ref="F30:O30" si="14">$D$30</f>
        <v>1500</v>
      </c>
      <c r="G30" s="86">
        <f t="shared" si="14"/>
        <v>1500</v>
      </c>
      <c r="H30" s="86">
        <f t="shared" si="14"/>
        <v>1500</v>
      </c>
      <c r="I30" s="86">
        <f t="shared" si="14"/>
        <v>1500</v>
      </c>
      <c r="J30" s="86">
        <f t="shared" si="14"/>
        <v>1500</v>
      </c>
      <c r="K30" s="86">
        <f t="shared" si="14"/>
        <v>1500</v>
      </c>
      <c r="L30" s="86">
        <f t="shared" si="14"/>
        <v>1500</v>
      </c>
      <c r="M30" s="86">
        <f t="shared" si="14"/>
        <v>1500</v>
      </c>
      <c r="N30" s="86">
        <f t="shared" si="14"/>
        <v>1500</v>
      </c>
      <c r="O30" s="86">
        <f t="shared" si="14"/>
        <v>1500</v>
      </c>
      <c r="P30" s="86">
        <f t="shared" si="4"/>
        <v>18000</v>
      </c>
    </row>
    <row r="31" spans="2:17" ht="37.5" customHeight="1" x14ac:dyDescent="0.4">
      <c r="B31" s="89" t="s">
        <v>123</v>
      </c>
      <c r="C31" s="89" t="s">
        <v>124</v>
      </c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7"/>
    </row>
    <row r="32" spans="2:17" ht="25.8" x14ac:dyDescent="0.5">
      <c r="B32" s="90" t="s">
        <v>125</v>
      </c>
      <c r="C32" s="90" t="s">
        <v>126</v>
      </c>
      <c r="D32" s="86">
        <v>972.7</v>
      </c>
      <c r="E32" s="86">
        <f>$D$32</f>
        <v>972.7</v>
      </c>
      <c r="F32" s="86">
        <f t="shared" ref="F32:N32" si="15">$D$32</f>
        <v>972.7</v>
      </c>
      <c r="G32" s="86">
        <f t="shared" si="15"/>
        <v>972.7</v>
      </c>
      <c r="H32" s="86">
        <f t="shared" si="15"/>
        <v>972.7</v>
      </c>
      <c r="I32" s="86">
        <f t="shared" si="15"/>
        <v>972.7</v>
      </c>
      <c r="J32" s="86">
        <f t="shared" si="15"/>
        <v>972.7</v>
      </c>
      <c r="K32" s="86">
        <f t="shared" si="15"/>
        <v>972.7</v>
      </c>
      <c r="L32" s="86">
        <f t="shared" si="15"/>
        <v>972.7</v>
      </c>
      <c r="M32" s="86">
        <f t="shared" si="15"/>
        <v>972.7</v>
      </c>
      <c r="N32" s="86">
        <f t="shared" si="15"/>
        <v>972.7</v>
      </c>
      <c r="O32" s="86">
        <f>$D$32</f>
        <v>972.7</v>
      </c>
      <c r="P32" s="86">
        <f>SUM(D32:O32)</f>
        <v>11672.400000000001</v>
      </c>
    </row>
    <row r="33" spans="2:16" ht="25.8" x14ac:dyDescent="0.5">
      <c r="B33" s="90" t="s">
        <v>127</v>
      </c>
      <c r="C33" s="90" t="s">
        <v>181</v>
      </c>
      <c r="D33" s="86">
        <v>450</v>
      </c>
      <c r="E33" s="86">
        <f>$D$33</f>
        <v>450</v>
      </c>
      <c r="F33" s="86">
        <f t="shared" ref="F33:O33" si="16">$D$33</f>
        <v>450</v>
      </c>
      <c r="G33" s="86">
        <f t="shared" si="16"/>
        <v>450</v>
      </c>
      <c r="H33" s="86">
        <f t="shared" si="16"/>
        <v>450</v>
      </c>
      <c r="I33" s="86">
        <f t="shared" si="16"/>
        <v>450</v>
      </c>
      <c r="J33" s="86">
        <f t="shared" si="16"/>
        <v>450</v>
      </c>
      <c r="K33" s="86">
        <f t="shared" si="16"/>
        <v>450</v>
      </c>
      <c r="L33" s="86">
        <f t="shared" si="16"/>
        <v>450</v>
      </c>
      <c r="M33" s="86">
        <f t="shared" si="16"/>
        <v>450</v>
      </c>
      <c r="N33" s="86">
        <f t="shared" si="16"/>
        <v>450</v>
      </c>
      <c r="O33" s="86">
        <f t="shared" si="16"/>
        <v>450</v>
      </c>
      <c r="P33" s="86">
        <f>SUM(D33:O33)</f>
        <v>5400</v>
      </c>
    </row>
    <row r="34" spans="2:16" ht="25.8" x14ac:dyDescent="0.5">
      <c r="B34" s="90" t="s">
        <v>129</v>
      </c>
      <c r="C34" s="90" t="s">
        <v>130</v>
      </c>
      <c r="D34" s="86">
        <v>500</v>
      </c>
      <c r="E34" s="86">
        <f>$D$34</f>
        <v>500</v>
      </c>
      <c r="F34" s="86">
        <f>$D$34</f>
        <v>500</v>
      </c>
      <c r="G34" s="86">
        <f t="shared" ref="G34:O34" si="17">$D$34</f>
        <v>500</v>
      </c>
      <c r="H34" s="86">
        <f t="shared" si="17"/>
        <v>500</v>
      </c>
      <c r="I34" s="86">
        <f t="shared" si="17"/>
        <v>500</v>
      </c>
      <c r="J34" s="86">
        <f t="shared" si="17"/>
        <v>500</v>
      </c>
      <c r="K34" s="86">
        <f t="shared" si="17"/>
        <v>500</v>
      </c>
      <c r="L34" s="86">
        <f t="shared" si="17"/>
        <v>500</v>
      </c>
      <c r="M34" s="86">
        <f t="shared" si="17"/>
        <v>500</v>
      </c>
      <c r="N34" s="86">
        <f t="shared" si="17"/>
        <v>500</v>
      </c>
      <c r="O34" s="86">
        <f t="shared" si="17"/>
        <v>500</v>
      </c>
      <c r="P34" s="86">
        <f t="shared" si="4"/>
        <v>6000</v>
      </c>
    </row>
    <row r="35" spans="2:16" ht="25.8" x14ac:dyDescent="0.5">
      <c r="B35" s="90" t="s">
        <v>131</v>
      </c>
      <c r="C35" s="90" t="s">
        <v>154</v>
      </c>
      <c r="D35" s="86">
        <f>5500+993.17</f>
        <v>6493.17</v>
      </c>
      <c r="E35" s="86">
        <f>$D$35</f>
        <v>6493.17</v>
      </c>
      <c r="F35" s="86">
        <f t="shared" ref="F35:O35" si="18">$D$35</f>
        <v>6493.17</v>
      </c>
      <c r="G35" s="86">
        <f t="shared" si="18"/>
        <v>6493.17</v>
      </c>
      <c r="H35" s="86">
        <f t="shared" si="18"/>
        <v>6493.17</v>
      </c>
      <c r="I35" s="86">
        <f t="shared" si="18"/>
        <v>6493.17</v>
      </c>
      <c r="J35" s="86">
        <f t="shared" si="18"/>
        <v>6493.17</v>
      </c>
      <c r="K35" s="86">
        <f t="shared" si="18"/>
        <v>6493.17</v>
      </c>
      <c r="L35" s="86">
        <f t="shared" si="18"/>
        <v>6493.17</v>
      </c>
      <c r="M35" s="86">
        <f t="shared" si="18"/>
        <v>6493.17</v>
      </c>
      <c r="N35" s="86">
        <f t="shared" si="18"/>
        <v>6493.17</v>
      </c>
      <c r="O35" s="86">
        <f t="shared" si="18"/>
        <v>6493.17</v>
      </c>
      <c r="P35" s="86">
        <f t="shared" si="4"/>
        <v>77918.039999999994</v>
      </c>
    </row>
    <row r="36" spans="2:16" ht="25.8" x14ac:dyDescent="0.5">
      <c r="B36" s="90" t="s">
        <v>132</v>
      </c>
      <c r="C36" s="90" t="s">
        <v>133</v>
      </c>
      <c r="D36" s="86">
        <v>500</v>
      </c>
      <c r="E36" s="86">
        <f>$D$36</f>
        <v>500</v>
      </c>
      <c r="F36" s="86">
        <f t="shared" ref="F36:O37" si="19">$D$36</f>
        <v>500</v>
      </c>
      <c r="G36" s="86">
        <f t="shared" si="19"/>
        <v>500</v>
      </c>
      <c r="H36" s="86">
        <f t="shared" si="19"/>
        <v>500</v>
      </c>
      <c r="I36" s="86">
        <f t="shared" si="19"/>
        <v>500</v>
      </c>
      <c r="J36" s="86">
        <f t="shared" si="19"/>
        <v>500</v>
      </c>
      <c r="K36" s="86">
        <f t="shared" si="19"/>
        <v>500</v>
      </c>
      <c r="L36" s="86">
        <f t="shared" si="19"/>
        <v>500</v>
      </c>
      <c r="M36" s="86">
        <f t="shared" si="19"/>
        <v>500</v>
      </c>
      <c r="N36" s="86">
        <f t="shared" si="19"/>
        <v>500</v>
      </c>
      <c r="O36" s="86">
        <f t="shared" si="19"/>
        <v>500</v>
      </c>
      <c r="P36" s="86">
        <f t="shared" si="4"/>
        <v>6000</v>
      </c>
    </row>
    <row r="37" spans="2:16" ht="25.8" x14ac:dyDescent="0.5">
      <c r="B37" s="90" t="s">
        <v>210</v>
      </c>
      <c r="C37" s="90" t="s">
        <v>211</v>
      </c>
      <c r="D37" s="86">
        <v>4500</v>
      </c>
      <c r="E37" s="86">
        <f>$D$37</f>
        <v>4500</v>
      </c>
      <c r="F37" s="86">
        <f t="shared" ref="F37:O37" si="20">$D$37</f>
        <v>4500</v>
      </c>
      <c r="G37" s="86">
        <f t="shared" si="20"/>
        <v>4500</v>
      </c>
      <c r="H37" s="86">
        <f t="shared" si="20"/>
        <v>4500</v>
      </c>
      <c r="I37" s="86">
        <f t="shared" si="20"/>
        <v>4500</v>
      </c>
      <c r="J37" s="86">
        <f t="shared" si="20"/>
        <v>4500</v>
      </c>
      <c r="K37" s="86">
        <f t="shared" si="20"/>
        <v>4500</v>
      </c>
      <c r="L37" s="86">
        <f t="shared" si="20"/>
        <v>4500</v>
      </c>
      <c r="M37" s="86">
        <f t="shared" si="20"/>
        <v>4500</v>
      </c>
      <c r="N37" s="86">
        <f t="shared" si="20"/>
        <v>4500</v>
      </c>
      <c r="O37" s="86">
        <f t="shared" si="20"/>
        <v>4500</v>
      </c>
      <c r="P37" s="86">
        <f t="shared" ref="P37" si="21">SUM(D37:O37)</f>
        <v>54000</v>
      </c>
    </row>
    <row r="38" spans="2:16" ht="51.6" x14ac:dyDescent="0.5">
      <c r="B38" s="90" t="s">
        <v>134</v>
      </c>
      <c r="C38" s="90" t="s">
        <v>135</v>
      </c>
      <c r="D38" s="86">
        <v>825.57</v>
      </c>
      <c r="E38" s="86">
        <f>$D$38</f>
        <v>825.57</v>
      </c>
      <c r="F38" s="86">
        <f t="shared" ref="F38:O38" si="22">$D$38</f>
        <v>825.57</v>
      </c>
      <c r="G38" s="86">
        <f t="shared" si="22"/>
        <v>825.57</v>
      </c>
      <c r="H38" s="86">
        <f t="shared" si="22"/>
        <v>825.57</v>
      </c>
      <c r="I38" s="86">
        <f t="shared" si="22"/>
        <v>825.57</v>
      </c>
      <c r="J38" s="86">
        <f t="shared" si="22"/>
        <v>825.57</v>
      </c>
      <c r="K38" s="86">
        <f t="shared" si="22"/>
        <v>825.57</v>
      </c>
      <c r="L38" s="86">
        <f t="shared" si="22"/>
        <v>825.57</v>
      </c>
      <c r="M38" s="86">
        <f t="shared" si="22"/>
        <v>825.57</v>
      </c>
      <c r="N38" s="86">
        <f t="shared" si="22"/>
        <v>825.57</v>
      </c>
      <c r="O38" s="86">
        <f t="shared" si="22"/>
        <v>825.57</v>
      </c>
      <c r="P38" s="86">
        <f t="shared" si="4"/>
        <v>9906.8399999999983</v>
      </c>
    </row>
    <row r="39" spans="2:16" ht="25.8" x14ac:dyDescent="0.4">
      <c r="B39" s="89" t="s">
        <v>136</v>
      </c>
      <c r="C39" s="89" t="s">
        <v>137</v>
      </c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7"/>
    </row>
    <row r="40" spans="2:16" ht="25.8" x14ac:dyDescent="0.5">
      <c r="B40" s="90" t="s">
        <v>138</v>
      </c>
      <c r="C40" s="90" t="s">
        <v>139</v>
      </c>
      <c r="D40" s="86">
        <v>3500</v>
      </c>
      <c r="E40" s="86">
        <f t="shared" ref="E40:O40" si="23">$D$40</f>
        <v>3500</v>
      </c>
      <c r="F40" s="86">
        <f t="shared" si="23"/>
        <v>3500</v>
      </c>
      <c r="G40" s="86">
        <f t="shared" si="23"/>
        <v>3500</v>
      </c>
      <c r="H40" s="86">
        <f t="shared" si="23"/>
        <v>3500</v>
      </c>
      <c r="I40" s="86">
        <f t="shared" si="23"/>
        <v>3500</v>
      </c>
      <c r="J40" s="86">
        <f t="shared" si="23"/>
        <v>3500</v>
      </c>
      <c r="K40" s="86">
        <f t="shared" si="23"/>
        <v>3500</v>
      </c>
      <c r="L40" s="86">
        <f t="shared" si="23"/>
        <v>3500</v>
      </c>
      <c r="M40" s="86">
        <f t="shared" si="23"/>
        <v>3500</v>
      </c>
      <c r="N40" s="86">
        <f t="shared" si="23"/>
        <v>3500</v>
      </c>
      <c r="O40" s="86">
        <f t="shared" si="23"/>
        <v>3500</v>
      </c>
      <c r="P40" s="86">
        <f t="shared" si="4"/>
        <v>42000</v>
      </c>
    </row>
    <row r="41" spans="2:16" ht="37.5" customHeight="1" x14ac:dyDescent="0.4">
      <c r="B41" s="253" t="s">
        <v>140</v>
      </c>
      <c r="C41" s="253"/>
      <c r="D41" s="93">
        <f t="shared" ref="D41:O41" si="24">SUM(D19:D22)</f>
        <v>35336.80036899999</v>
      </c>
      <c r="E41" s="93">
        <f t="shared" si="24"/>
        <v>35336.80036899999</v>
      </c>
      <c r="F41" s="93">
        <f t="shared" si="24"/>
        <v>35336.80036899999</v>
      </c>
      <c r="G41" s="93">
        <f t="shared" si="24"/>
        <v>35336.80036899999</v>
      </c>
      <c r="H41" s="93">
        <f t="shared" si="24"/>
        <v>35336.80036899999</v>
      </c>
      <c r="I41" s="93">
        <f t="shared" si="24"/>
        <v>35336.80036899999</v>
      </c>
      <c r="J41" s="93">
        <f t="shared" si="24"/>
        <v>35336.80036899999</v>
      </c>
      <c r="K41" s="93">
        <f t="shared" si="24"/>
        <v>35336.80036899999</v>
      </c>
      <c r="L41" s="93">
        <f t="shared" si="24"/>
        <v>35336.80036899999</v>
      </c>
      <c r="M41" s="93">
        <f t="shared" si="24"/>
        <v>35336.80036899999</v>
      </c>
      <c r="N41" s="93">
        <f t="shared" si="24"/>
        <v>35336.80036899999</v>
      </c>
      <c r="O41" s="93">
        <f t="shared" si="24"/>
        <v>35336.80036899999</v>
      </c>
      <c r="P41" s="93">
        <f>SUM(D41:O41)</f>
        <v>424041.60442799999</v>
      </c>
    </row>
    <row r="42" spans="2:16" ht="19.5" customHeight="1" x14ac:dyDescent="0.5">
      <c r="B42" s="87"/>
      <c r="C42" s="87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 ht="37.5" customHeight="1" x14ac:dyDescent="0.4">
      <c r="B43" s="223" t="s">
        <v>141</v>
      </c>
      <c r="C43" s="224"/>
      <c r="D43" s="93">
        <f>SUM(D25,D26,D27,D29,D30,D32,D33,D34,D35,D36,D37,D38,D40)</f>
        <v>25241.440000000002</v>
      </c>
      <c r="E43" s="93">
        <f t="shared" ref="E43:O43" si="25">SUM(E25,E26,E27,E29,E30,E32,E33,E34,E35,E36,E37,E38,E40)</f>
        <v>25241.440000000002</v>
      </c>
      <c r="F43" s="93">
        <f t="shared" si="25"/>
        <v>25241.440000000002</v>
      </c>
      <c r="G43" s="93">
        <f t="shared" si="25"/>
        <v>25241.440000000002</v>
      </c>
      <c r="H43" s="93">
        <f t="shared" si="25"/>
        <v>25241.440000000002</v>
      </c>
      <c r="I43" s="93">
        <f t="shared" si="25"/>
        <v>25241.440000000002</v>
      </c>
      <c r="J43" s="93">
        <f t="shared" si="25"/>
        <v>25241.440000000002</v>
      </c>
      <c r="K43" s="93">
        <f t="shared" si="25"/>
        <v>25241.440000000002</v>
      </c>
      <c r="L43" s="93">
        <f t="shared" si="25"/>
        <v>25241.440000000002</v>
      </c>
      <c r="M43" s="93">
        <f t="shared" si="25"/>
        <v>25241.440000000002</v>
      </c>
      <c r="N43" s="93">
        <f t="shared" si="25"/>
        <v>25241.440000000002</v>
      </c>
      <c r="O43" s="93">
        <f t="shared" si="25"/>
        <v>25241.440000000002</v>
      </c>
      <c r="P43" s="93">
        <f>SUM(D43:O43)</f>
        <v>302897.28000000003</v>
      </c>
    </row>
    <row r="44" spans="2:16" ht="19.5" customHeight="1" x14ac:dyDescent="0.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8"/>
    </row>
    <row r="45" spans="2:16" ht="48.75" customHeight="1" x14ac:dyDescent="0.4">
      <c r="B45" s="223" t="s">
        <v>142</v>
      </c>
      <c r="C45" s="224"/>
      <c r="D45" s="94">
        <f>SUM(D41+D43)</f>
        <v>60578.240368999992</v>
      </c>
      <c r="E45" s="94">
        <f t="shared" ref="E45:O45" si="26">SUM(E41+E43)</f>
        <v>60578.240368999992</v>
      </c>
      <c r="F45" s="94">
        <f t="shared" si="26"/>
        <v>60578.240368999992</v>
      </c>
      <c r="G45" s="94">
        <f t="shared" si="26"/>
        <v>60578.240368999992</v>
      </c>
      <c r="H45" s="94">
        <f t="shared" si="26"/>
        <v>60578.240368999992</v>
      </c>
      <c r="I45" s="94">
        <f t="shared" si="26"/>
        <v>60578.240368999992</v>
      </c>
      <c r="J45" s="94">
        <f t="shared" si="26"/>
        <v>60578.240368999992</v>
      </c>
      <c r="K45" s="94">
        <f t="shared" si="26"/>
        <v>60578.240368999992</v>
      </c>
      <c r="L45" s="94">
        <f t="shared" si="26"/>
        <v>60578.240368999992</v>
      </c>
      <c r="M45" s="94">
        <f t="shared" si="26"/>
        <v>60578.240368999992</v>
      </c>
      <c r="N45" s="94">
        <f t="shared" si="26"/>
        <v>60578.240368999992</v>
      </c>
      <c r="O45" s="94">
        <f t="shared" si="26"/>
        <v>60578.240368999992</v>
      </c>
      <c r="P45" s="93">
        <f>SUM(D45:O45)</f>
        <v>726938.88442799996</v>
      </c>
    </row>
    <row r="46" spans="2:16" ht="19.5" customHeight="1" x14ac:dyDescent="0.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8"/>
    </row>
    <row r="47" spans="2:16" ht="46.5" customHeight="1" x14ac:dyDescent="0.4">
      <c r="B47" s="223" t="s">
        <v>143</v>
      </c>
      <c r="C47" s="224"/>
      <c r="D47" s="94">
        <f>D12-D45</f>
        <v>-3.6899999395245686E-4</v>
      </c>
      <c r="E47" s="94">
        <f t="shared" ref="E47:O47" si="27">E12-E45</f>
        <v>-3.6899999395245686E-4</v>
      </c>
      <c r="F47" s="94">
        <f t="shared" si="27"/>
        <v>-3.6899999395245686E-4</v>
      </c>
      <c r="G47" s="94">
        <f t="shared" si="27"/>
        <v>27042.534631000002</v>
      </c>
      <c r="H47" s="94">
        <f t="shared" si="27"/>
        <v>-3.6899999395245686E-4</v>
      </c>
      <c r="I47" s="94">
        <f t="shared" si="27"/>
        <v>-3.6899999395245686E-4</v>
      </c>
      <c r="J47" s="94">
        <f t="shared" si="27"/>
        <v>-3.6899999395245686E-4</v>
      </c>
      <c r="K47" s="94">
        <f t="shared" si="27"/>
        <v>-3.6899999395245686E-4</v>
      </c>
      <c r="L47" s="94">
        <f t="shared" si="27"/>
        <v>-3.6899999395245686E-4</v>
      </c>
      <c r="M47" s="94">
        <f t="shared" si="27"/>
        <v>27042.534631000002</v>
      </c>
      <c r="N47" s="94">
        <f t="shared" si="27"/>
        <v>-3.6899999395245686E-4</v>
      </c>
      <c r="O47" s="94">
        <f t="shared" si="27"/>
        <v>-3.6899999395245686E-4</v>
      </c>
      <c r="P47" s="94">
        <f>P12-P45</f>
        <v>54085.065571999876</v>
      </c>
    </row>
    <row r="48" spans="2:16" ht="19.5" customHeight="1" x14ac:dyDescent="0.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</row>
    <row r="49" spans="2:16" ht="27.75" customHeight="1" x14ac:dyDescent="0.4">
      <c r="B49" s="249" t="s">
        <v>144</v>
      </c>
      <c r="C49" s="250"/>
      <c r="D49" s="236" t="s">
        <v>145</v>
      </c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8"/>
    </row>
    <row r="50" spans="2:16" ht="38.25" customHeight="1" x14ac:dyDescent="0.4">
      <c r="B50" s="251"/>
      <c r="C50" s="252"/>
      <c r="D50" s="239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1"/>
    </row>
    <row r="51" spans="2:16" ht="29.25" customHeight="1" x14ac:dyDescent="0.4">
      <c r="B51" s="249" t="s">
        <v>146</v>
      </c>
      <c r="C51" s="250"/>
      <c r="D51" s="242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4"/>
    </row>
    <row r="52" spans="2:16" ht="48.75" customHeight="1" x14ac:dyDescent="0.4">
      <c r="B52" s="251"/>
      <c r="C52" s="252"/>
      <c r="D52" s="245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7"/>
    </row>
    <row r="53" spans="2:16" ht="20.25" customHeight="1" x14ac:dyDescent="0.4">
      <c r="B53" s="235" t="s">
        <v>147</v>
      </c>
      <c r="C53" s="235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</row>
    <row r="54" spans="2:16" ht="20.25" customHeight="1" x14ac:dyDescent="0.4">
      <c r="B54" s="235"/>
      <c r="C54" s="235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</row>
    <row r="56" spans="2:16" ht="80.25" customHeight="1" x14ac:dyDescent="0.4">
      <c r="D56" s="132">
        <f>D13</f>
        <v>54085.07</v>
      </c>
    </row>
    <row r="57" spans="2:16" ht="80.25" customHeight="1" x14ac:dyDescent="0.4">
      <c r="D57" s="78">
        <v>94161.39</v>
      </c>
    </row>
    <row r="58" spans="2:16" ht="80.25" customHeight="1" x14ac:dyDescent="0.4">
      <c r="D58" s="78">
        <v>5066.07</v>
      </c>
    </row>
    <row r="59" spans="2:16" ht="80.25" customHeight="1" x14ac:dyDescent="0.4">
      <c r="D59" s="78">
        <f>SUM(D57:D58)</f>
        <v>99227.459999999992</v>
      </c>
    </row>
  </sheetData>
  <mergeCells count="27">
    <mergeCell ref="D39:P39"/>
    <mergeCell ref="B1:C3"/>
    <mergeCell ref="D24:P24"/>
    <mergeCell ref="D28:P28"/>
    <mergeCell ref="B53:C54"/>
    <mergeCell ref="D49:P50"/>
    <mergeCell ref="D51:P52"/>
    <mergeCell ref="D53:P54"/>
    <mergeCell ref="B51:C52"/>
    <mergeCell ref="B49:C50"/>
    <mergeCell ref="B47:C47"/>
    <mergeCell ref="B41:C41"/>
    <mergeCell ref="B43:C43"/>
    <mergeCell ref="B45:C45"/>
    <mergeCell ref="D31:P31"/>
    <mergeCell ref="B12:C12"/>
    <mergeCell ref="B8:P8"/>
    <mergeCell ref="B11:P11"/>
    <mergeCell ref="B23:C23"/>
    <mergeCell ref="D23:P23"/>
    <mergeCell ref="B9:C9"/>
    <mergeCell ref="D17:P17"/>
    <mergeCell ref="D18:P18"/>
    <mergeCell ref="B15:C15"/>
    <mergeCell ref="B13:C13"/>
    <mergeCell ref="B17:C17"/>
    <mergeCell ref="B14:C1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8"/>
  <sheetViews>
    <sheetView view="pageBreakPreview" zoomScale="60" zoomScaleNormal="100" workbookViewId="0">
      <selection activeCell="A6" sqref="A6:XFD7"/>
    </sheetView>
  </sheetViews>
  <sheetFormatPr defaultRowHeight="21" x14ac:dyDescent="0.4"/>
  <cols>
    <col min="1" max="1" width="2.6640625" style="78" customWidth="1"/>
    <col min="2" max="2" width="7.33203125" style="78" customWidth="1"/>
    <col min="3" max="3" width="96.5546875" style="78" customWidth="1"/>
    <col min="4" max="6" width="22.33203125" style="78" bestFit="1" customWidth="1"/>
  </cols>
  <sheetData>
    <row r="1" spans="1:6" x14ac:dyDescent="0.4">
      <c r="A1" s="77"/>
      <c r="B1" s="231"/>
      <c r="C1" s="231"/>
    </row>
    <row r="2" spans="1:6" x14ac:dyDescent="0.4">
      <c r="A2" s="77"/>
      <c r="B2" s="231"/>
      <c r="C2" s="231"/>
    </row>
    <row r="3" spans="1:6" x14ac:dyDescent="0.4">
      <c r="A3" s="77"/>
      <c r="B3" s="231"/>
      <c r="C3" s="231"/>
    </row>
    <row r="4" spans="1:6" ht="28.8" x14ac:dyDescent="0.55000000000000004">
      <c r="B4" s="101" t="s">
        <v>161</v>
      </c>
      <c r="C4" s="81"/>
    </row>
    <row r="5" spans="1:6" ht="28.8" x14ac:dyDescent="0.55000000000000004">
      <c r="B5" s="103"/>
      <c r="C5" s="81"/>
    </row>
    <row r="6" spans="1:6" ht="28.8" x14ac:dyDescent="0.55000000000000004">
      <c r="B6" s="100"/>
      <c r="C6" s="81"/>
    </row>
    <row r="7" spans="1:6" ht="28.8" x14ac:dyDescent="0.55000000000000004">
      <c r="B7" s="100"/>
      <c r="C7" s="81"/>
    </row>
    <row r="8" spans="1:6" x14ac:dyDescent="0.4">
      <c r="A8" s="49"/>
      <c r="B8"/>
      <c r="C8"/>
      <c r="D8"/>
      <c r="E8"/>
      <c r="F8"/>
    </row>
    <row r="9" spans="1:6" ht="26.4" thickBot="1" x14ac:dyDescent="0.45">
      <c r="A9" s="49"/>
      <c r="B9" s="228" t="s">
        <v>66</v>
      </c>
      <c r="C9" s="229"/>
      <c r="D9" s="82" t="s">
        <v>157</v>
      </c>
      <c r="E9" s="82" t="s">
        <v>158</v>
      </c>
      <c r="F9" s="82" t="s">
        <v>159</v>
      </c>
    </row>
    <row r="10" spans="1:6" ht="25.8" x14ac:dyDescent="0.4">
      <c r="A10" s="49"/>
      <c r="B10" s="112"/>
      <c r="C10" s="113"/>
      <c r="D10" s="113"/>
      <c r="E10" s="113"/>
      <c r="F10" s="113"/>
    </row>
    <row r="11" spans="1:6" x14ac:dyDescent="0.4">
      <c r="A11" s="49"/>
      <c r="B11"/>
      <c r="C11"/>
      <c r="D11"/>
      <c r="E11"/>
      <c r="F11"/>
    </row>
    <row r="12" spans="1:6" ht="25.8" x14ac:dyDescent="0.4">
      <c r="B12" s="223" t="s">
        <v>110</v>
      </c>
      <c r="C12" s="224"/>
      <c r="D12"/>
      <c r="E12"/>
      <c r="F12"/>
    </row>
    <row r="13" spans="1:6" ht="25.8" x14ac:dyDescent="0.4">
      <c r="B13" s="89" t="s">
        <v>111</v>
      </c>
      <c r="C13" s="89" t="s">
        <v>112</v>
      </c>
      <c r="D13"/>
      <c r="E13"/>
      <c r="F13"/>
    </row>
    <row r="14" spans="1:6" ht="25.8" x14ac:dyDescent="0.5">
      <c r="B14" s="90" t="s">
        <v>113</v>
      </c>
      <c r="C14" s="90" t="s">
        <v>155</v>
      </c>
      <c r="D14" s="86">
        <v>2000</v>
      </c>
      <c r="E14" s="86">
        <v>2000</v>
      </c>
      <c r="F14" s="86"/>
    </row>
    <row r="15" spans="1:6" ht="25.8" x14ac:dyDescent="0.5">
      <c r="B15" s="90" t="s">
        <v>115</v>
      </c>
      <c r="C15" s="90" t="s">
        <v>114</v>
      </c>
      <c r="D15" s="86">
        <v>1000</v>
      </c>
      <c r="E15" s="86">
        <v>1000</v>
      </c>
      <c r="F15" s="86"/>
    </row>
    <row r="16" spans="1:6" ht="25.8" x14ac:dyDescent="0.5">
      <c r="B16" s="90" t="s">
        <v>117</v>
      </c>
      <c r="C16" s="90" t="s">
        <v>116</v>
      </c>
      <c r="D16" s="86">
        <v>500</v>
      </c>
      <c r="E16" s="86">
        <v>500</v>
      </c>
      <c r="F16" s="86"/>
    </row>
    <row r="17" spans="2:6" ht="25.8" x14ac:dyDescent="0.5">
      <c r="B17" s="90" t="s">
        <v>156</v>
      </c>
      <c r="C17" s="90" t="s">
        <v>118</v>
      </c>
      <c r="D17" s="86">
        <v>500</v>
      </c>
      <c r="E17" s="86">
        <v>500</v>
      </c>
      <c r="F17" s="86"/>
    </row>
    <row r="18" spans="2:6" ht="25.8" x14ac:dyDescent="0.4">
      <c r="B18" s="89" t="s">
        <v>119</v>
      </c>
      <c r="C18" s="89" t="s">
        <v>120</v>
      </c>
      <c r="D18"/>
      <c r="E18"/>
      <c r="F18"/>
    </row>
    <row r="19" spans="2:6" ht="25.8" x14ac:dyDescent="0.5">
      <c r="B19" s="90" t="s">
        <v>121</v>
      </c>
      <c r="C19" s="90" t="s">
        <v>122</v>
      </c>
      <c r="D19" s="86">
        <v>2500</v>
      </c>
      <c r="E19" s="86">
        <v>2500</v>
      </c>
      <c r="F19" s="86"/>
    </row>
    <row r="20" spans="2:6" ht="25.8" x14ac:dyDescent="0.4">
      <c r="B20" s="89" t="s">
        <v>123</v>
      </c>
      <c r="C20" s="89" t="s">
        <v>124</v>
      </c>
      <c r="D20"/>
      <c r="E20"/>
      <c r="F20"/>
    </row>
    <row r="21" spans="2:6" ht="25.8" x14ac:dyDescent="0.5">
      <c r="B21" s="90" t="s">
        <v>125</v>
      </c>
      <c r="C21" s="90" t="s">
        <v>126</v>
      </c>
      <c r="D21" s="86">
        <v>1000</v>
      </c>
      <c r="E21" s="86">
        <v>1000</v>
      </c>
      <c r="F21" s="86"/>
    </row>
    <row r="22" spans="2:6" ht="51.6" x14ac:dyDescent="0.5">
      <c r="B22" s="90" t="s">
        <v>127</v>
      </c>
      <c r="C22" s="90" t="s">
        <v>128</v>
      </c>
      <c r="D22" s="86">
        <v>500</v>
      </c>
      <c r="E22" s="86">
        <v>500</v>
      </c>
      <c r="F22" s="86"/>
    </row>
    <row r="23" spans="2:6" ht="25.8" x14ac:dyDescent="0.5">
      <c r="B23" s="90" t="s">
        <v>129</v>
      </c>
      <c r="C23" s="90" t="s">
        <v>130</v>
      </c>
      <c r="D23" s="86">
        <v>500</v>
      </c>
      <c r="E23" s="86">
        <v>500</v>
      </c>
      <c r="F23" s="86"/>
    </row>
    <row r="24" spans="2:6" ht="25.8" x14ac:dyDescent="0.5">
      <c r="B24" s="90" t="s">
        <v>131</v>
      </c>
      <c r="C24" s="90" t="s">
        <v>154</v>
      </c>
      <c r="D24" s="86">
        <v>4550</v>
      </c>
      <c r="E24" s="86">
        <v>4550</v>
      </c>
      <c r="F24" s="86"/>
    </row>
    <row r="25" spans="2:6" ht="25.8" x14ac:dyDescent="0.5">
      <c r="B25" s="90" t="s">
        <v>132</v>
      </c>
      <c r="C25" s="90" t="s">
        <v>133</v>
      </c>
      <c r="D25" s="86">
        <v>500</v>
      </c>
      <c r="E25" s="86">
        <v>500</v>
      </c>
      <c r="F25" s="86"/>
    </row>
    <row r="26" spans="2:6" ht="51.6" x14ac:dyDescent="0.5">
      <c r="B26" s="90" t="s">
        <v>134</v>
      </c>
      <c r="C26" s="90" t="s">
        <v>135</v>
      </c>
      <c r="D26" s="86">
        <v>3391.86</v>
      </c>
      <c r="E26" s="86">
        <v>3391.86</v>
      </c>
      <c r="F26" s="114" t="s">
        <v>160</v>
      </c>
    </row>
    <row r="27" spans="2:6" ht="25.8" x14ac:dyDescent="0.4">
      <c r="B27" s="89" t="s">
        <v>136</v>
      </c>
      <c r="C27" s="89" t="s">
        <v>137</v>
      </c>
      <c r="D27"/>
      <c r="E27"/>
      <c r="F27"/>
    </row>
    <row r="28" spans="2:6" ht="25.8" x14ac:dyDescent="0.5">
      <c r="B28" s="90" t="s">
        <v>138</v>
      </c>
      <c r="C28" s="90" t="s">
        <v>139</v>
      </c>
      <c r="D28" s="86">
        <v>1000</v>
      </c>
      <c r="E28" s="86">
        <v>1000</v>
      </c>
      <c r="F28" s="86"/>
    </row>
  </sheetData>
  <mergeCells count="3">
    <mergeCell ref="B12:C12"/>
    <mergeCell ref="B1:C3"/>
    <mergeCell ref="B9:C9"/>
  </mergeCells>
  <pageMargins left="0.51181102362204722" right="0.51181102362204722" top="0.78740157480314965" bottom="0.78740157480314965" header="0.31496062992125984" footer="0.31496062992125984"/>
  <pageSetup paperSize="9"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D27"/>
  <sheetViews>
    <sheetView zoomScale="70" zoomScaleNormal="70" workbookViewId="0">
      <selection activeCell="A5" sqref="A5:B8"/>
    </sheetView>
  </sheetViews>
  <sheetFormatPr defaultRowHeight="21" x14ac:dyDescent="0.4"/>
  <cols>
    <col min="1" max="1" width="47.33203125" style="49" customWidth="1"/>
    <col min="2" max="2" width="8.5546875" style="49" customWidth="1"/>
    <col min="3" max="3" width="7.109375" style="49" customWidth="1"/>
    <col min="4" max="4" width="19.44140625" style="49" customWidth="1"/>
  </cols>
  <sheetData>
    <row r="5" spans="1:4" ht="28.8" x14ac:dyDescent="0.55000000000000004">
      <c r="A5" s="101" t="s">
        <v>150</v>
      </c>
      <c r="B5" s="81"/>
      <c r="C5" s="102"/>
    </row>
    <row r="6" spans="1:4" ht="28.8" x14ac:dyDescent="0.55000000000000004">
      <c r="A6" s="103" t="s">
        <v>151</v>
      </c>
      <c r="B6" s="81"/>
      <c r="C6" s="102"/>
    </row>
    <row r="7" spans="1:4" ht="28.8" x14ac:dyDescent="0.55000000000000004">
      <c r="A7" s="100" t="s">
        <v>152</v>
      </c>
      <c r="B7" s="81"/>
      <c r="C7" s="100"/>
      <c r="D7"/>
    </row>
    <row r="8" spans="1:4" ht="28.8" x14ac:dyDescent="0.55000000000000004">
      <c r="A8" s="100" t="s">
        <v>153</v>
      </c>
      <c r="B8" s="81"/>
      <c r="C8" s="100"/>
    </row>
    <row r="9" spans="1:4" ht="21.6" thickBot="1" x14ac:dyDescent="0.45"/>
    <row r="10" spans="1:4" x14ac:dyDescent="0.4">
      <c r="A10" s="57" t="s">
        <v>4</v>
      </c>
      <c r="B10" s="58" t="s">
        <v>5</v>
      </c>
      <c r="C10" s="58" t="s">
        <v>6</v>
      </c>
      <c r="D10" s="59" t="s">
        <v>7</v>
      </c>
    </row>
    <row r="11" spans="1:4" x14ac:dyDescent="0.4">
      <c r="A11" s="60" t="s">
        <v>13</v>
      </c>
      <c r="B11" s="61">
        <v>44</v>
      </c>
      <c r="C11" s="61">
        <v>1</v>
      </c>
      <c r="D11" s="62">
        <v>4800</v>
      </c>
    </row>
    <row r="12" spans="1:4" x14ac:dyDescent="0.4">
      <c r="A12" s="60" t="s">
        <v>14</v>
      </c>
      <c r="B12" s="61">
        <v>44</v>
      </c>
      <c r="C12" s="61">
        <v>1</v>
      </c>
      <c r="D12" s="62">
        <v>3500</v>
      </c>
    </row>
    <row r="13" spans="1:4" x14ac:dyDescent="0.4">
      <c r="A13" s="60" t="s">
        <v>15</v>
      </c>
      <c r="B13" s="61">
        <v>44</v>
      </c>
      <c r="C13" s="61">
        <v>23</v>
      </c>
      <c r="D13" s="62">
        <f>2155.92*C13</f>
        <v>49586.16</v>
      </c>
    </row>
    <row r="14" spans="1:4" x14ac:dyDescent="0.4">
      <c r="A14" s="60" t="s">
        <v>16</v>
      </c>
      <c r="B14" s="61">
        <v>44</v>
      </c>
      <c r="C14" s="61">
        <v>6</v>
      </c>
      <c r="D14" s="62">
        <f>2155.92*C14</f>
        <v>12935.52</v>
      </c>
    </row>
    <row r="15" spans="1:4" x14ac:dyDescent="0.4">
      <c r="A15" s="60" t="s">
        <v>17</v>
      </c>
      <c r="B15" s="61">
        <v>44</v>
      </c>
      <c r="C15" s="61">
        <v>2</v>
      </c>
      <c r="D15" s="62">
        <f>1391.52*C15</f>
        <v>2783.04</v>
      </c>
    </row>
    <row r="16" spans="1:4" x14ac:dyDescent="0.4">
      <c r="A16" s="60" t="s">
        <v>18</v>
      </c>
      <c r="B16" s="61">
        <v>44</v>
      </c>
      <c r="C16" s="61">
        <v>2</v>
      </c>
      <c r="D16" s="62">
        <f>1481*C16</f>
        <v>2962</v>
      </c>
    </row>
    <row r="17" spans="1:4" x14ac:dyDescent="0.4">
      <c r="A17" s="60" t="s">
        <v>19</v>
      </c>
      <c r="B17" s="61">
        <v>44</v>
      </c>
      <c r="C17" s="61">
        <v>1</v>
      </c>
      <c r="D17" s="62">
        <f>1350*C17</f>
        <v>1350</v>
      </c>
    </row>
    <row r="18" spans="1:4" x14ac:dyDescent="0.4">
      <c r="A18" s="60" t="s">
        <v>20</v>
      </c>
      <c r="B18" s="61">
        <v>44</v>
      </c>
      <c r="C18" s="61">
        <v>1</v>
      </c>
      <c r="D18" s="62">
        <f>2000*C18</f>
        <v>2000</v>
      </c>
    </row>
    <row r="19" spans="1:4" x14ac:dyDescent="0.4">
      <c r="A19" s="60" t="s">
        <v>21</v>
      </c>
      <c r="B19" s="61">
        <v>44</v>
      </c>
      <c r="C19" s="61">
        <v>1</v>
      </c>
      <c r="D19" s="62">
        <f>1700*C19</f>
        <v>1700</v>
      </c>
    </row>
    <row r="20" spans="1:4" x14ac:dyDescent="0.4">
      <c r="A20" s="60" t="s">
        <v>22</v>
      </c>
      <c r="B20" s="61">
        <v>44</v>
      </c>
      <c r="C20" s="61">
        <v>5</v>
      </c>
      <c r="D20" s="62">
        <f>1456*C20</f>
        <v>7280</v>
      </c>
    </row>
    <row r="21" spans="1:4" x14ac:dyDescent="0.4">
      <c r="A21" s="60" t="s">
        <v>23</v>
      </c>
      <c r="B21" s="61">
        <v>44</v>
      </c>
      <c r="C21" s="61">
        <v>1</v>
      </c>
      <c r="D21" s="62">
        <f>2000*C21</f>
        <v>2000</v>
      </c>
    </row>
    <row r="22" spans="1:4" ht="21.6" thickBot="1" x14ac:dyDescent="0.45">
      <c r="A22" s="67" t="s">
        <v>24</v>
      </c>
      <c r="B22" s="68">
        <v>44</v>
      </c>
      <c r="C22" s="68">
        <v>6</v>
      </c>
      <c r="D22" s="69">
        <f>1400*C22</f>
        <v>8400</v>
      </c>
    </row>
    <row r="23" spans="1:4" ht="14.4" x14ac:dyDescent="0.3">
      <c r="A23"/>
      <c r="B23"/>
      <c r="C23"/>
      <c r="D23"/>
    </row>
    <row r="24" spans="1:4" x14ac:dyDescent="0.4">
      <c r="A24" s="71" t="s">
        <v>25</v>
      </c>
      <c r="B24" s="72"/>
      <c r="C24" s="110">
        <f>SUM(C11:C22)</f>
        <v>50</v>
      </c>
      <c r="D24" s="73">
        <f>SUM(D11:D22)</f>
        <v>99296.72</v>
      </c>
    </row>
    <row r="26" spans="1:4" x14ac:dyDescent="0.4">
      <c r="A26" s="111" t="s">
        <v>148</v>
      </c>
    </row>
    <row r="27" spans="1:4" x14ac:dyDescent="0.4">
      <c r="A27" s="49" t="s">
        <v>149</v>
      </c>
    </row>
  </sheetData>
  <hyperlinks>
    <hyperlink ref="A26" r:id="rId1" xr:uid="{00000000-0004-0000-05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N12"/>
  <sheetViews>
    <sheetView showGridLines="0" showRowColHeaders="0" workbookViewId="0">
      <selection activeCell="F16" sqref="F16"/>
    </sheetView>
  </sheetViews>
  <sheetFormatPr defaultRowHeight="14.4" x14ac:dyDescent="0.3"/>
  <cols>
    <col min="5" max="5" width="14.6640625" customWidth="1"/>
  </cols>
  <sheetData>
    <row r="3" spans="4:14" ht="15" thickBot="1" x14ac:dyDescent="0.35"/>
    <row r="4" spans="4:14" ht="70.8" customHeight="1" thickBot="1" x14ac:dyDescent="0.35">
      <c r="D4" s="119" t="s">
        <v>165</v>
      </c>
      <c r="E4" s="120" t="s">
        <v>166</v>
      </c>
      <c r="F4" s="120" t="s">
        <v>167</v>
      </c>
      <c r="G4" s="120" t="s">
        <v>199</v>
      </c>
      <c r="H4" s="120" t="s">
        <v>198</v>
      </c>
      <c r="I4" s="120" t="s">
        <v>8</v>
      </c>
      <c r="J4" s="120" t="s">
        <v>183</v>
      </c>
      <c r="K4" s="120" t="s">
        <v>41</v>
      </c>
      <c r="L4" s="120" t="s">
        <v>168</v>
      </c>
      <c r="M4" s="120" t="s">
        <v>170</v>
      </c>
      <c r="N4" s="121" t="s">
        <v>169</v>
      </c>
    </row>
    <row r="5" spans="4:14" x14ac:dyDescent="0.3">
      <c r="D5" s="122">
        <f>VPTA!C13</f>
        <v>1</v>
      </c>
      <c r="E5" s="123" t="str">
        <f>VPTA!A13</f>
        <v>DIRETOR</v>
      </c>
      <c r="F5" s="123">
        <f>VPTA!B13</f>
        <v>40</v>
      </c>
      <c r="G5" s="162">
        <f>VPTA!E13</f>
        <v>3637.2</v>
      </c>
      <c r="H5" s="124">
        <f>VPTA!F13</f>
        <v>2909.7599999999998</v>
      </c>
      <c r="I5" s="124">
        <f>VPTA!G13</f>
        <v>745.62599999999986</v>
      </c>
      <c r="J5" s="124">
        <f>VPTA!H13</f>
        <v>784.54404</v>
      </c>
      <c r="K5" s="124">
        <f>VPTA!I13</f>
        <v>0</v>
      </c>
      <c r="L5" s="124">
        <f>VPTA!J13</f>
        <v>13.85</v>
      </c>
      <c r="M5" s="125">
        <f>VPTA!K13</f>
        <v>15</v>
      </c>
      <c r="N5" s="126">
        <f t="shared" ref="N5:N12" si="0">SUM(H5:M5)</f>
        <v>4468.7800399999996</v>
      </c>
    </row>
    <row r="6" spans="4:14" ht="20.399999999999999" x14ac:dyDescent="0.3">
      <c r="D6" s="127">
        <f>VPTA!C14</f>
        <v>1</v>
      </c>
      <c r="E6" s="117" t="str">
        <f>VPTA!A14</f>
        <v>COORDENADOR PEDAGÓGICO</v>
      </c>
      <c r="F6" s="117">
        <f>VPTA!B14</f>
        <v>40</v>
      </c>
      <c r="G6" s="163">
        <f>VPTA!E14</f>
        <v>3007.92</v>
      </c>
      <c r="H6" s="118">
        <f>VPTA!F14</f>
        <v>2406.3360000000002</v>
      </c>
      <c r="I6" s="118">
        <f>VPTA!G14</f>
        <v>616.62360000000001</v>
      </c>
      <c r="J6" s="118">
        <f>VPTA!H14</f>
        <v>648.80834400000003</v>
      </c>
      <c r="K6" s="118">
        <f>VPTA!I14</f>
        <v>0</v>
      </c>
      <c r="L6" s="118">
        <f>VPTA!J14</f>
        <v>13.85</v>
      </c>
      <c r="M6" s="118">
        <f>VPTA!K14</f>
        <v>15</v>
      </c>
      <c r="N6" s="128">
        <f t="shared" si="0"/>
        <v>3700.6179440000001</v>
      </c>
    </row>
    <row r="7" spans="4:14" ht="20.399999999999999" x14ac:dyDescent="0.3">
      <c r="D7" s="127">
        <f>VPTA!C15</f>
        <v>4</v>
      </c>
      <c r="E7" s="117" t="str">
        <f>VPTA!A15</f>
        <v>PROFESSOR DE EDUCAÇÃO INFANTIL</v>
      </c>
      <c r="F7" s="117">
        <f>VPTA!B15</f>
        <v>40</v>
      </c>
      <c r="G7" s="163">
        <f>VPTA!E15</f>
        <v>11544.96</v>
      </c>
      <c r="H7" s="118">
        <f>VPTA!F15</f>
        <v>9813.2159999999985</v>
      </c>
      <c r="I7" s="118">
        <f>VPTA!G15</f>
        <v>2366.7167999999997</v>
      </c>
      <c r="J7" s="118">
        <f>VPTA!H15</f>
        <v>2490.2478719999999</v>
      </c>
      <c r="K7" s="118">
        <f>VPTA!I15</f>
        <v>0</v>
      </c>
      <c r="L7" s="118">
        <f>VPTA!J15</f>
        <v>55.4</v>
      </c>
      <c r="M7" s="118">
        <f>VPTA!K15</f>
        <v>60</v>
      </c>
      <c r="N7" s="128">
        <f t="shared" ref="N7:N11" si="1">SUM(H7:M7)</f>
        <v>14785.580671999998</v>
      </c>
    </row>
    <row r="8" spans="4:14" x14ac:dyDescent="0.3">
      <c r="D8" s="127">
        <f>VPTA!C16</f>
        <v>2</v>
      </c>
      <c r="E8" s="117" t="str">
        <f>VPTA!A16</f>
        <v>PROFESSOR VOLANTE</v>
      </c>
      <c r="F8" s="117">
        <f>VPTA!B16</f>
        <v>40</v>
      </c>
      <c r="G8" s="163">
        <f>VPTA!E16</f>
        <v>5772.48</v>
      </c>
      <c r="H8" s="118">
        <f>VPTA!F16</f>
        <v>4906.6079999999993</v>
      </c>
      <c r="I8" s="118">
        <f>VPTA!G16</f>
        <v>1183.3583999999998</v>
      </c>
      <c r="J8" s="118">
        <f>VPTA!H16</f>
        <v>1245.123936</v>
      </c>
      <c r="K8" s="118">
        <f>VPTA!I16</f>
        <v>0</v>
      </c>
      <c r="L8" s="118">
        <f>VPTA!J16</f>
        <v>27.7</v>
      </c>
      <c r="M8" s="118">
        <f>VPTA!K16</f>
        <v>30</v>
      </c>
      <c r="N8" s="128">
        <f t="shared" si="1"/>
        <v>7392.7903359999991</v>
      </c>
    </row>
    <row r="9" spans="4:14" x14ac:dyDescent="0.3">
      <c r="D9" s="127">
        <f>VPTA!C17</f>
        <v>1</v>
      </c>
      <c r="E9" s="117" t="str">
        <f>VPTA!A17</f>
        <v>COZINHEIRA</v>
      </c>
      <c r="F9" s="117">
        <f>VPTA!B17</f>
        <v>40</v>
      </c>
      <c r="G9" s="163">
        <f>VPTA!E17</f>
        <v>1256.3699999999999</v>
      </c>
      <c r="H9" s="118">
        <f>VPTA!F17</f>
        <v>1105.6055999999999</v>
      </c>
      <c r="I9" s="118">
        <f>VPTA!G17</f>
        <v>257.55584999999996</v>
      </c>
      <c r="J9" s="118">
        <f>VPTA!H17</f>
        <v>270.999009</v>
      </c>
      <c r="K9" s="118">
        <f>VPTA!I17</f>
        <v>0</v>
      </c>
      <c r="L9" s="118">
        <f>VPTA!J17</f>
        <v>13.85</v>
      </c>
      <c r="M9" s="118">
        <f>VPTA!K17</f>
        <v>15</v>
      </c>
      <c r="N9" s="128">
        <f t="shared" si="1"/>
        <v>1663.0104589999996</v>
      </c>
    </row>
    <row r="10" spans="4:14" x14ac:dyDescent="0.3">
      <c r="D10" s="127">
        <f>VPTA!C18</f>
        <v>1</v>
      </c>
      <c r="E10" s="117" t="str">
        <f>VPTA!A18</f>
        <v>AUXILIAR DE COZINHA</v>
      </c>
      <c r="F10" s="117">
        <f>VPTA!B18</f>
        <v>40</v>
      </c>
      <c r="G10" s="163">
        <f>VPTA!E18</f>
        <v>1256.3699999999999</v>
      </c>
      <c r="H10" s="118">
        <f>VPTA!F18</f>
        <v>1105.6055999999999</v>
      </c>
      <c r="I10" s="118">
        <f>VPTA!G18</f>
        <v>257.55584999999996</v>
      </c>
      <c r="J10" s="118">
        <f>VPTA!H18</f>
        <v>270.999009</v>
      </c>
      <c r="K10" s="118">
        <f>VPTA!I18</f>
        <v>0</v>
      </c>
      <c r="L10" s="118">
        <f>VPTA!J18</f>
        <v>13.85</v>
      </c>
      <c r="M10" s="118">
        <f>VPTA!K18</f>
        <v>15</v>
      </c>
      <c r="N10" s="128">
        <f t="shared" si="1"/>
        <v>1663.0104589999996</v>
      </c>
    </row>
    <row r="11" spans="4:14" ht="15" thickBot="1" x14ac:dyDescent="0.35">
      <c r="D11" s="127">
        <f>VPTA!C19</f>
        <v>1</v>
      </c>
      <c r="E11" s="117" t="str">
        <f>VPTA!A19</f>
        <v>AUXILIAR DE LIMPEZA</v>
      </c>
      <c r="F11" s="117">
        <f>VPTA!B19</f>
        <v>40</v>
      </c>
      <c r="G11" s="163">
        <f>VPTA!E19</f>
        <v>1256.3699999999999</v>
      </c>
      <c r="H11" s="118">
        <f>VPTA!F19</f>
        <v>1105.6055999999999</v>
      </c>
      <c r="I11" s="118">
        <f>VPTA!G19</f>
        <v>257.55584999999996</v>
      </c>
      <c r="J11" s="118">
        <f>VPTA!H19</f>
        <v>270.999009</v>
      </c>
      <c r="K11" s="118">
        <f>VPTA!I19</f>
        <v>0</v>
      </c>
      <c r="L11" s="118">
        <f>VPTA!J19</f>
        <v>13.85</v>
      </c>
      <c r="M11" s="118">
        <f>VPTA!K19</f>
        <v>15</v>
      </c>
      <c r="N11" s="128">
        <f t="shared" si="1"/>
        <v>1663.0104589999996</v>
      </c>
    </row>
    <row r="12" spans="4:14" ht="15" thickBot="1" x14ac:dyDescent="0.35">
      <c r="D12" s="254" t="s">
        <v>60</v>
      </c>
      <c r="E12" s="255"/>
      <c r="F12" s="256"/>
      <c r="G12" s="129">
        <f t="shared" ref="G12:M12" si="2">SUM(G5:G11)</f>
        <v>27731.669999999995</v>
      </c>
      <c r="H12" s="129">
        <f t="shared" si="2"/>
        <v>23352.736799999995</v>
      </c>
      <c r="I12" s="129">
        <f t="shared" si="2"/>
        <v>5684.9923499999986</v>
      </c>
      <c r="J12" s="129">
        <f t="shared" si="2"/>
        <v>5981.721219</v>
      </c>
      <c r="K12" s="129">
        <f t="shared" si="2"/>
        <v>0</v>
      </c>
      <c r="L12" s="129">
        <f t="shared" si="2"/>
        <v>152.35</v>
      </c>
      <c r="M12" s="130">
        <f t="shared" si="2"/>
        <v>165</v>
      </c>
      <c r="N12" s="131">
        <f t="shared" si="0"/>
        <v>35336.80036899999</v>
      </c>
    </row>
  </sheetData>
  <mergeCells count="1">
    <mergeCell ref="D12:F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5:N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I12"/>
  <sheetViews>
    <sheetView workbookViewId="0">
      <selection activeCell="E24" sqref="E24"/>
    </sheetView>
  </sheetViews>
  <sheetFormatPr defaultRowHeight="14.4" x14ac:dyDescent="0.3"/>
  <cols>
    <col min="3" max="3" width="9" customWidth="1"/>
    <col min="4" max="4" width="23.88671875" customWidth="1"/>
    <col min="5" max="5" width="24" customWidth="1"/>
    <col min="8" max="8" width="28.33203125" customWidth="1"/>
    <col min="9" max="9" width="24.88671875" customWidth="1"/>
  </cols>
  <sheetData>
    <row r="1" spans="3:9" ht="15" thickBot="1" x14ac:dyDescent="0.35"/>
    <row r="2" spans="3:9" x14ac:dyDescent="0.3">
      <c r="C2" s="259" t="s">
        <v>176</v>
      </c>
      <c r="D2" s="260"/>
      <c r="E2" s="261"/>
      <c r="G2" s="259" t="s">
        <v>177</v>
      </c>
      <c r="H2" s="260"/>
      <c r="I2" s="261"/>
    </row>
    <row r="3" spans="3:9" ht="15" thickBot="1" x14ac:dyDescent="0.35">
      <c r="C3" s="262"/>
      <c r="D3" s="263"/>
      <c r="E3" s="264"/>
      <c r="G3" s="262"/>
      <c r="H3" s="263"/>
      <c r="I3" s="264"/>
    </row>
    <row r="4" spans="3:9" ht="28.8" customHeight="1" thickBot="1" x14ac:dyDescent="0.35">
      <c r="C4" s="265" t="s">
        <v>171</v>
      </c>
      <c r="D4" s="266"/>
      <c r="E4" s="267"/>
      <c r="G4" s="265" t="s">
        <v>171</v>
      </c>
      <c r="H4" s="266"/>
      <c r="I4" s="267"/>
    </row>
    <row r="5" spans="3:9" ht="15" thickBot="1" x14ac:dyDescent="0.35">
      <c r="C5" s="268" t="s">
        <v>172</v>
      </c>
      <c r="D5" s="269"/>
      <c r="E5" s="144" t="s">
        <v>173</v>
      </c>
      <c r="G5" s="268" t="s">
        <v>172</v>
      </c>
      <c r="H5" s="269"/>
      <c r="I5" s="144" t="s">
        <v>173</v>
      </c>
    </row>
    <row r="6" spans="3:9" ht="28.8" customHeight="1" thickBot="1" x14ac:dyDescent="0.35">
      <c r="C6" s="270" t="s">
        <v>174</v>
      </c>
      <c r="D6" s="271"/>
      <c r="E6" s="145">
        <f>22641.74+3500+1524</f>
        <v>27665.74</v>
      </c>
      <c r="G6" s="270" t="s">
        <v>174</v>
      </c>
      <c r="H6" s="271"/>
      <c r="I6" s="145">
        <f>17820.81+3500+1524</f>
        <v>22844.81</v>
      </c>
    </row>
    <row r="7" spans="3:9" ht="28.8" customHeight="1" thickBot="1" x14ac:dyDescent="0.35">
      <c r="C7" s="270" t="s">
        <v>180</v>
      </c>
      <c r="D7" s="271"/>
      <c r="E7" s="145">
        <f>4550+516.07</f>
        <v>5066.07</v>
      </c>
      <c r="G7" s="270" t="s">
        <v>178</v>
      </c>
      <c r="H7" s="271"/>
      <c r="I7" s="145">
        <v>3704.3</v>
      </c>
    </row>
    <row r="8" spans="3:9" ht="28.8" customHeight="1" thickBot="1" x14ac:dyDescent="0.35">
      <c r="C8" s="270" t="s">
        <v>179</v>
      </c>
      <c r="D8" s="271"/>
      <c r="E8" s="145">
        <v>3500</v>
      </c>
      <c r="G8" s="270" t="s">
        <v>179</v>
      </c>
      <c r="H8" s="271"/>
      <c r="I8" s="145">
        <v>3500</v>
      </c>
    </row>
    <row r="9" spans="3:9" ht="26.4" customHeight="1" thickBot="1" x14ac:dyDescent="0.35">
      <c r="C9" s="270" t="s">
        <v>175</v>
      </c>
      <c r="D9" s="271"/>
      <c r="E9" s="145">
        <v>1539.18</v>
      </c>
      <c r="G9" s="270" t="s">
        <v>175</v>
      </c>
      <c r="H9" s="271"/>
      <c r="I9" s="145">
        <v>1339.66</v>
      </c>
    </row>
    <row r="10" spans="3:9" ht="22.8" customHeight="1" thickBot="1" x14ac:dyDescent="0.35">
      <c r="C10" s="257" t="s">
        <v>60</v>
      </c>
      <c r="D10" s="258"/>
      <c r="E10" s="146">
        <f>SUM(E6:E9)</f>
        <v>37770.99</v>
      </c>
      <c r="G10" s="257" t="s">
        <v>60</v>
      </c>
      <c r="H10" s="258"/>
      <c r="I10" s="146">
        <f>SUM(I6:I9)</f>
        <v>31388.77</v>
      </c>
    </row>
    <row r="12" spans="3:9" x14ac:dyDescent="0.3">
      <c r="E12" s="147"/>
      <c r="I12" s="147"/>
    </row>
  </sheetData>
  <mergeCells count="16">
    <mergeCell ref="C10:D10"/>
    <mergeCell ref="C2:E3"/>
    <mergeCell ref="G2:I3"/>
    <mergeCell ref="G4:I4"/>
    <mergeCell ref="G5:H5"/>
    <mergeCell ref="G6:H6"/>
    <mergeCell ref="G9:H9"/>
    <mergeCell ref="G10:H10"/>
    <mergeCell ref="C4:E4"/>
    <mergeCell ref="C5:D5"/>
    <mergeCell ref="C6:D6"/>
    <mergeCell ref="C9:D9"/>
    <mergeCell ref="C7:D7"/>
    <mergeCell ref="G7:H7"/>
    <mergeCell ref="C8:D8"/>
    <mergeCell ref="G8:H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755D-923B-4FE7-87FF-604918772EBE}">
  <dimension ref="C2:J9"/>
  <sheetViews>
    <sheetView showGridLines="0" showRowColHeaders="0" workbookViewId="0">
      <selection activeCell="C9" sqref="C9:E9"/>
    </sheetView>
  </sheetViews>
  <sheetFormatPr defaultRowHeight="14.4" x14ac:dyDescent="0.3"/>
  <cols>
    <col min="3" max="3" width="11" customWidth="1"/>
    <col min="4" max="4" width="14.77734375" customWidth="1"/>
    <col min="5" max="5" width="12.33203125" customWidth="1"/>
    <col min="10" max="10" width="19.88671875" customWidth="1"/>
  </cols>
  <sheetData>
    <row r="2" spans="3:10" ht="15" thickBot="1" x14ac:dyDescent="0.35"/>
    <row r="3" spans="3:10" x14ac:dyDescent="0.3">
      <c r="C3" s="272" t="s">
        <v>184</v>
      </c>
      <c r="D3" s="273"/>
      <c r="E3" s="273"/>
      <c r="F3" s="273"/>
      <c r="G3" s="273"/>
      <c r="H3" s="273"/>
      <c r="I3" s="273"/>
      <c r="J3" s="274"/>
    </row>
    <row r="4" spans="3:10" x14ac:dyDescent="0.3">
      <c r="C4" s="275"/>
      <c r="D4" s="276"/>
      <c r="E4" s="276"/>
      <c r="F4" s="276"/>
      <c r="G4" s="276"/>
      <c r="H4" s="276"/>
      <c r="I4" s="276"/>
      <c r="J4" s="277"/>
    </row>
    <row r="5" spans="3:10" ht="48" customHeight="1" x14ac:dyDescent="0.3">
      <c r="C5" s="156" t="s">
        <v>185</v>
      </c>
      <c r="D5" s="155" t="s">
        <v>205</v>
      </c>
      <c r="E5" s="278"/>
      <c r="F5" s="279"/>
      <c r="G5" s="279"/>
      <c r="H5" s="279"/>
      <c r="I5" s="279"/>
      <c r="J5" s="157" t="s">
        <v>188</v>
      </c>
    </row>
    <row r="6" spans="3:10" ht="77.400000000000006" customHeight="1" x14ac:dyDescent="0.3">
      <c r="C6" s="158" t="s">
        <v>193</v>
      </c>
      <c r="D6" s="151" t="s">
        <v>192</v>
      </c>
      <c r="E6" s="150" t="s">
        <v>4</v>
      </c>
      <c r="F6" s="154" t="s">
        <v>186</v>
      </c>
      <c r="G6" s="154" t="s">
        <v>45</v>
      </c>
      <c r="H6" s="154" t="s">
        <v>44</v>
      </c>
      <c r="I6" s="154" t="s">
        <v>187</v>
      </c>
      <c r="J6" s="159" t="s">
        <v>189</v>
      </c>
    </row>
    <row r="7" spans="3:10" ht="26.4" customHeight="1" x14ac:dyDescent="0.3">
      <c r="C7" s="148" t="s">
        <v>190</v>
      </c>
      <c r="D7" s="149" t="s">
        <v>206</v>
      </c>
      <c r="E7" s="149" t="s">
        <v>191</v>
      </c>
      <c r="F7" s="152">
        <v>2500</v>
      </c>
      <c r="G7" s="152">
        <f>F7*25.5%</f>
        <v>637.5</v>
      </c>
      <c r="H7" s="152">
        <f>F7*8%</f>
        <v>200</v>
      </c>
      <c r="I7" s="152">
        <f>SUM(F7:H7)</f>
        <v>3337.5</v>
      </c>
      <c r="J7" s="153">
        <f>F7*21.57%</f>
        <v>539.25</v>
      </c>
    </row>
    <row r="8" spans="3:10" ht="27.6" customHeight="1" thickBot="1" x14ac:dyDescent="0.35">
      <c r="C8" s="127" t="s">
        <v>190</v>
      </c>
      <c r="D8" s="117" t="s">
        <v>207</v>
      </c>
      <c r="E8" s="117" t="s">
        <v>191</v>
      </c>
      <c r="F8" s="118">
        <v>2500</v>
      </c>
      <c r="G8" s="118">
        <f>F8*25.5%</f>
        <v>637.5</v>
      </c>
      <c r="H8" s="118">
        <f>F8*8%</f>
        <v>200</v>
      </c>
      <c r="I8" s="118">
        <f>SUM(F8:H8)</f>
        <v>3337.5</v>
      </c>
      <c r="J8" s="128">
        <f>F8*21.57%</f>
        <v>539.25</v>
      </c>
    </row>
    <row r="9" spans="3:10" ht="25.8" customHeight="1" thickBot="1" x14ac:dyDescent="0.35">
      <c r="C9" s="254" t="s">
        <v>60</v>
      </c>
      <c r="D9" s="255"/>
      <c r="E9" s="256"/>
      <c r="F9" s="129">
        <f>SUM(F7:F8)</f>
        <v>5000</v>
      </c>
      <c r="G9" s="129">
        <f>SUM(G7:G8)</f>
        <v>1275</v>
      </c>
      <c r="H9" s="129">
        <f>SUM(H7:H8)</f>
        <v>400</v>
      </c>
      <c r="I9" s="129">
        <f>SUM(I7:I8)</f>
        <v>6675</v>
      </c>
      <c r="J9" s="131">
        <f>SUM(J7:J8)</f>
        <v>1078.5</v>
      </c>
    </row>
  </sheetData>
  <mergeCells count="3">
    <mergeCell ref="C9:E9"/>
    <mergeCell ref="C3:J4"/>
    <mergeCell ref="E5:I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VPTA</vt:lpstr>
      <vt:lpstr>Anexo VII</vt:lpstr>
      <vt:lpstr>Plano Orçamentario</vt:lpstr>
      <vt:lpstr>Plano Analitico</vt:lpstr>
      <vt:lpstr>Plan2</vt:lpstr>
      <vt:lpstr>Plan1</vt:lpstr>
      <vt:lpstr>Plan3</vt:lpstr>
      <vt:lpstr>Plan4</vt:lpstr>
      <vt:lpstr>Planilha1</vt:lpstr>
      <vt:lpstr>VPTA!Area_de_impressao</vt:lpstr>
    </vt:vector>
  </TitlesOfParts>
  <Manager/>
  <Company>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Edson</cp:lastModifiedBy>
  <cp:revision/>
  <cp:lastPrinted>2020-02-18T21:15:22Z</cp:lastPrinted>
  <dcterms:created xsi:type="dcterms:W3CDTF">2016-11-17T19:38:39Z</dcterms:created>
  <dcterms:modified xsi:type="dcterms:W3CDTF">2021-02-22T21:18:46Z</dcterms:modified>
  <cp:category/>
  <cp:contentStatus/>
</cp:coreProperties>
</file>